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Desktop\taghir maghadir\"/>
    </mc:Choice>
  </mc:AlternateContent>
  <bookViews>
    <workbookView xWindow="480" yWindow="60" windowWidth="11355" windowHeight="9210" activeTab="13"/>
  </bookViews>
  <sheets>
    <sheet name="1" sheetId="1" r:id="rId1"/>
    <sheet name="2" sheetId="17" r:id="rId2"/>
    <sheet name="3" sheetId="3" r:id="rId3"/>
    <sheet name="5" sheetId="4" r:id="rId4"/>
    <sheet name="7" sheetId="5" r:id="rId5"/>
    <sheet name="8" sheetId="6" r:id="rId6"/>
    <sheet name="9" sheetId="7" r:id="rId7"/>
    <sheet name="10" sheetId="8" r:id="rId8"/>
    <sheet name="11" sheetId="9" r:id="rId9"/>
    <sheet name="12" sheetId="10" r:id="rId10"/>
    <sheet name="16" sheetId="12" r:id="rId11"/>
    <sheet name="20" sheetId="13" r:id="rId12"/>
    <sheet name="25" sheetId="14" r:id="rId13"/>
    <sheet name="خلاصه مالی فصول" sheetId="2" r:id="rId14"/>
  </sheets>
  <definedNames>
    <definedName name="_xlnm.Print_Area" localSheetId="0">'1'!$F$1:$S$11</definedName>
    <definedName name="_xlnm.Print_Area" localSheetId="7">'10'!$F$1:$S$12</definedName>
    <definedName name="_xlnm.Print_Area" localSheetId="8">'11'!$F$1:$S$11</definedName>
    <definedName name="_xlnm.Print_Area" localSheetId="9">'12'!$F$1:$S$25</definedName>
    <definedName name="_xlnm.Print_Area" localSheetId="10">'16'!$F$1:$S$17</definedName>
    <definedName name="_xlnm.Print_Area" localSheetId="11">'20'!$F$1:$S$12</definedName>
    <definedName name="_xlnm.Print_Area" localSheetId="12">'25'!$F$1:$S$16</definedName>
    <definedName name="_xlnm.Print_Area" localSheetId="2">'3'!$F$1:$S$19</definedName>
    <definedName name="_xlnm.Print_Area" localSheetId="3">'5'!$F$1:$S$11</definedName>
    <definedName name="_xlnm.Print_Area" localSheetId="4">'7'!$F$1:$S$13</definedName>
    <definedName name="_xlnm.Print_Area" localSheetId="5">'8'!$F$1:$S$16</definedName>
    <definedName name="_xlnm.Print_Area" localSheetId="6">'9'!$F$1:$S$12</definedName>
    <definedName name="_xlnm.Print_Area" localSheetId="13">'خلاصه مالی فصول'!$C$1:$U$26</definedName>
  </definedNames>
  <calcPr calcId="162913"/>
</workbook>
</file>

<file path=xl/calcChain.xml><?xml version="1.0" encoding="utf-8"?>
<calcChain xmlns="http://schemas.openxmlformats.org/spreadsheetml/2006/main">
  <c r="G19" i="3" l="1"/>
  <c r="D14" i="2"/>
  <c r="H13" i="5"/>
  <c r="L11" i="2" l="1"/>
  <c r="L12" i="2"/>
  <c r="L13" i="2"/>
  <c r="L14" i="2"/>
  <c r="B14" i="2" s="1"/>
  <c r="L15" i="2"/>
  <c r="L16" i="2"/>
  <c r="L17" i="2"/>
  <c r="L18" i="2"/>
  <c r="L19" i="2"/>
  <c r="L20" i="2"/>
  <c r="L21" i="2"/>
  <c r="A21" i="2" s="1"/>
  <c r="L22" i="2"/>
  <c r="D21" i="2"/>
  <c r="C11" i="2"/>
  <c r="A11" i="2" s="1"/>
  <c r="G17" i="17"/>
  <c r="D11" i="2"/>
  <c r="I13" i="7"/>
  <c r="I20" i="3"/>
  <c r="B11" i="2" l="1"/>
  <c r="B21" i="2"/>
  <c r="H21" i="10"/>
  <c r="H19" i="3"/>
  <c r="I19" i="3"/>
  <c r="M16" i="14"/>
  <c r="G16" i="14"/>
  <c r="H16" i="14"/>
  <c r="I16" i="14"/>
  <c r="H9" i="12"/>
  <c r="G11" i="9"/>
  <c r="H11" i="9"/>
  <c r="I11" i="9"/>
  <c r="M11" i="9"/>
  <c r="G7" i="8"/>
  <c r="G16" i="6"/>
  <c r="H16" i="6"/>
  <c r="I16" i="6"/>
  <c r="M16" i="6"/>
  <c r="I13" i="5"/>
  <c r="I17" i="17"/>
  <c r="H17" i="17"/>
  <c r="M7" i="17"/>
  <c r="M8" i="17"/>
  <c r="M9" i="17"/>
  <c r="M10" i="17"/>
  <c r="M11" i="17"/>
  <c r="M12" i="17"/>
  <c r="M13" i="17"/>
  <c r="M14" i="17"/>
  <c r="M15" i="17"/>
  <c r="M16" i="17"/>
  <c r="L10" i="2" l="1"/>
  <c r="M11" i="2"/>
  <c r="K11" i="2" s="1"/>
  <c r="R11" i="2"/>
  <c r="N11" i="2" s="1"/>
  <c r="G8" i="14"/>
  <c r="H10" i="10"/>
  <c r="H11" i="10"/>
  <c r="H12" i="10"/>
  <c r="G13" i="10"/>
  <c r="H14" i="10"/>
  <c r="H15" i="10"/>
  <c r="H16" i="10"/>
  <c r="G17" i="10"/>
  <c r="H18" i="10"/>
  <c r="H19" i="10"/>
  <c r="H20" i="10"/>
  <c r="G25" i="10"/>
  <c r="H22" i="10"/>
  <c r="H25" i="10" s="1"/>
  <c r="G23" i="10"/>
  <c r="G24" i="10"/>
  <c r="G9" i="10"/>
  <c r="H7" i="10"/>
  <c r="H8" i="10"/>
  <c r="H6" i="10"/>
  <c r="H7" i="13"/>
  <c r="H8" i="13"/>
  <c r="H9" i="13"/>
  <c r="H10" i="13"/>
  <c r="H11" i="13"/>
  <c r="H6" i="13"/>
  <c r="M6" i="14"/>
  <c r="I6" i="14"/>
  <c r="H6" i="14"/>
  <c r="G6" i="12"/>
  <c r="I7" i="12"/>
  <c r="H7" i="12" s="1"/>
  <c r="I24" i="10"/>
  <c r="I9" i="10"/>
  <c r="I10" i="10"/>
  <c r="I11" i="10"/>
  <c r="I12" i="10"/>
  <c r="I13" i="10"/>
  <c r="I14" i="10"/>
  <c r="M14" i="10"/>
  <c r="M11" i="10"/>
  <c r="M8" i="10"/>
  <c r="I8" i="10"/>
  <c r="M7" i="10"/>
  <c r="I7" i="10"/>
  <c r="M6" i="10"/>
  <c r="I6" i="10"/>
  <c r="G18" i="3"/>
  <c r="G8" i="3"/>
  <c r="G10" i="3"/>
  <c r="G11" i="3"/>
  <c r="G14" i="3"/>
  <c r="G15" i="3"/>
  <c r="G7" i="3"/>
  <c r="H9" i="3"/>
  <c r="I9" i="3"/>
  <c r="M9" i="3"/>
  <c r="M6" i="3"/>
  <c r="I6" i="3"/>
  <c r="H6" i="3"/>
  <c r="H7" i="17"/>
  <c r="G6" i="17"/>
  <c r="H8" i="9"/>
  <c r="H6" i="9"/>
  <c r="I6" i="9"/>
  <c r="H11" i="7"/>
  <c r="G10" i="7"/>
  <c r="H7" i="7"/>
  <c r="H8" i="7"/>
  <c r="H9" i="7"/>
  <c r="I9" i="7"/>
  <c r="G6" i="1"/>
  <c r="H7" i="1"/>
  <c r="H7" i="6"/>
  <c r="I7" i="6"/>
  <c r="H6" i="6"/>
  <c r="I6" i="6"/>
  <c r="M6" i="6"/>
  <c r="H6" i="5"/>
  <c r="I6" i="5"/>
  <c r="H9" i="1"/>
  <c r="I9" i="1"/>
  <c r="H8" i="1"/>
  <c r="I8" i="1"/>
  <c r="N24" i="2"/>
  <c r="M12" i="13"/>
  <c r="I11" i="13"/>
  <c r="M11" i="13"/>
  <c r="M24" i="10"/>
  <c r="I15" i="10"/>
  <c r="I16" i="10"/>
  <c r="I17" i="10"/>
  <c r="I18" i="10"/>
  <c r="I19" i="10"/>
  <c r="I20" i="10"/>
  <c r="I21" i="10"/>
  <c r="I22" i="10"/>
  <c r="I23" i="10"/>
  <c r="M10" i="10"/>
  <c r="M12" i="10"/>
  <c r="M13" i="10"/>
  <c r="M15" i="10"/>
  <c r="M16" i="10"/>
  <c r="M17" i="10"/>
  <c r="M18" i="10"/>
  <c r="M19" i="10"/>
  <c r="M20" i="10"/>
  <c r="M21" i="10"/>
  <c r="M25" i="10" s="1"/>
  <c r="M22" i="10"/>
  <c r="M23" i="10"/>
  <c r="M9" i="10"/>
  <c r="I7" i="8"/>
  <c r="M7" i="8"/>
  <c r="M12" i="7"/>
  <c r="M6" i="7"/>
  <c r="G10" i="6"/>
  <c r="G12" i="6"/>
  <c r="G14" i="6"/>
  <c r="G15" i="6"/>
  <c r="M10" i="6"/>
  <c r="M11" i="6"/>
  <c r="M12" i="6"/>
  <c r="M13" i="6"/>
  <c r="M14" i="6"/>
  <c r="M15" i="6"/>
  <c r="H11" i="6"/>
  <c r="I11" i="6"/>
  <c r="I12" i="6"/>
  <c r="H13" i="6"/>
  <c r="I13" i="6"/>
  <c r="I14" i="6"/>
  <c r="I15" i="6"/>
  <c r="G7" i="4"/>
  <c r="I7" i="4"/>
  <c r="M7" i="4"/>
  <c r="I7" i="3"/>
  <c r="M17" i="3"/>
  <c r="I17" i="3"/>
  <c r="H17" i="3"/>
  <c r="M16" i="3"/>
  <c r="I16" i="3"/>
  <c r="H16" i="3"/>
  <c r="M15" i="3"/>
  <c r="I15" i="3"/>
  <c r="I11" i="3"/>
  <c r="M11" i="3"/>
  <c r="H12" i="3"/>
  <c r="I12" i="3"/>
  <c r="M12" i="3"/>
  <c r="H13" i="3"/>
  <c r="I13" i="3"/>
  <c r="M13" i="3"/>
  <c r="I14" i="3"/>
  <c r="M14" i="3"/>
  <c r="I18" i="3"/>
  <c r="M18" i="3"/>
  <c r="M17" i="17"/>
  <c r="G15" i="17"/>
  <c r="I15" i="17"/>
  <c r="G16" i="17"/>
  <c r="I16" i="17"/>
  <c r="G9" i="17"/>
  <c r="I9" i="17"/>
  <c r="G10" i="17"/>
  <c r="I10" i="17"/>
  <c r="G11" i="17"/>
  <c r="I11" i="17"/>
  <c r="G12" i="17"/>
  <c r="I12" i="17"/>
  <c r="G13" i="17"/>
  <c r="I13" i="17"/>
  <c r="G14" i="17"/>
  <c r="I14" i="17"/>
  <c r="K168" i="17"/>
  <c r="M167" i="17"/>
  <c r="J167" i="17"/>
  <c r="I167" i="17" s="1"/>
  <c r="G167" i="17"/>
  <c r="M166" i="17"/>
  <c r="J166" i="17"/>
  <c r="I166" i="17" s="1"/>
  <c r="G166" i="17"/>
  <c r="M165" i="17"/>
  <c r="J165" i="17"/>
  <c r="I165" i="17" s="1"/>
  <c r="G165" i="17"/>
  <c r="B165" i="17"/>
  <c r="M164" i="17"/>
  <c r="I164" i="17"/>
  <c r="H164" i="17"/>
  <c r="J164" i="17" s="1"/>
  <c r="G164" i="17"/>
  <c r="B164" i="17"/>
  <c r="M163" i="17"/>
  <c r="M168" i="17" s="1"/>
  <c r="H163" i="17"/>
  <c r="J163" i="17" s="1"/>
  <c r="I163" i="17" s="1"/>
  <c r="G163" i="17"/>
  <c r="B163" i="17"/>
  <c r="K161" i="17"/>
  <c r="M160" i="17"/>
  <c r="M161" i="17" s="1"/>
  <c r="J160" i="17"/>
  <c r="I160" i="17" s="1"/>
  <c r="G160" i="17"/>
  <c r="H159" i="17"/>
  <c r="G159" i="17" s="1"/>
  <c r="J158" i="17"/>
  <c r="I158" i="17" s="1"/>
  <c r="G158" i="17"/>
  <c r="G161" i="17" s="1"/>
  <c r="J157" i="17"/>
  <c r="I157" i="17"/>
  <c r="M156" i="17"/>
  <c r="K156" i="17"/>
  <c r="J155" i="17"/>
  <c r="I155" i="17" s="1"/>
  <c r="J154" i="17"/>
  <c r="I154" i="17" s="1"/>
  <c r="I156" i="17" s="1"/>
  <c r="G154" i="17"/>
  <c r="G156" i="17" s="1"/>
  <c r="K148" i="17"/>
  <c r="M147" i="17"/>
  <c r="H147" i="17"/>
  <c r="J147" i="17" s="1"/>
  <c r="I147" i="17" s="1"/>
  <c r="M146" i="17"/>
  <c r="H146" i="17"/>
  <c r="G146" i="17" s="1"/>
  <c r="M145" i="17"/>
  <c r="H145" i="17"/>
  <c r="J145" i="17" s="1"/>
  <c r="I145" i="17" s="1"/>
  <c r="M144" i="17"/>
  <c r="J144" i="17"/>
  <c r="I144" i="17" s="1"/>
  <c r="G144" i="17"/>
  <c r="M143" i="17"/>
  <c r="J143" i="17"/>
  <c r="I143" i="17" s="1"/>
  <c r="G143" i="17"/>
  <c r="M142" i="17"/>
  <c r="J142" i="17"/>
  <c r="I142" i="17" s="1"/>
  <c r="G142" i="17"/>
  <c r="M141" i="17"/>
  <c r="J141" i="17"/>
  <c r="I141" i="17" s="1"/>
  <c r="G141" i="17"/>
  <c r="M140" i="17"/>
  <c r="J140" i="17"/>
  <c r="I140" i="17" s="1"/>
  <c r="G140" i="17"/>
  <c r="M139" i="17"/>
  <c r="J139" i="17"/>
  <c r="I139" i="17" s="1"/>
  <c r="G139" i="17"/>
  <c r="M138" i="17"/>
  <c r="J138" i="17"/>
  <c r="I138" i="17" s="1"/>
  <c r="G138" i="17"/>
  <c r="M137" i="17"/>
  <c r="J137" i="17"/>
  <c r="I137" i="17" s="1"/>
  <c r="G137" i="17"/>
  <c r="K135" i="17"/>
  <c r="M134" i="17"/>
  <c r="J134" i="17"/>
  <c r="I134" i="17" s="1"/>
  <c r="G134" i="17"/>
  <c r="G135" i="17" s="1"/>
  <c r="M133" i="17"/>
  <c r="J133" i="17"/>
  <c r="I133" i="17" s="1"/>
  <c r="M132" i="17"/>
  <c r="M135" i="17" s="1"/>
  <c r="J132" i="17"/>
  <c r="I132" i="17"/>
  <c r="K125" i="17"/>
  <c r="M124" i="17"/>
  <c r="H124" i="17"/>
  <c r="G124" i="17" s="1"/>
  <c r="M123" i="17"/>
  <c r="H123" i="17"/>
  <c r="J123" i="17" s="1"/>
  <c r="I123" i="17" s="1"/>
  <c r="M122" i="17"/>
  <c r="H122" i="17"/>
  <c r="G122" i="17" s="1"/>
  <c r="M121" i="17"/>
  <c r="J121" i="17"/>
  <c r="I121" i="17" s="1"/>
  <c r="G121" i="17"/>
  <c r="M120" i="17"/>
  <c r="J120" i="17"/>
  <c r="I120" i="17" s="1"/>
  <c r="G120" i="17"/>
  <c r="M119" i="17"/>
  <c r="H119" i="17"/>
  <c r="J119" i="17" s="1"/>
  <c r="I119" i="17" s="1"/>
  <c r="M118" i="17"/>
  <c r="J118" i="17"/>
  <c r="I118" i="17" s="1"/>
  <c r="G118" i="17"/>
  <c r="M117" i="17"/>
  <c r="J117" i="17"/>
  <c r="I117" i="17" s="1"/>
  <c r="G117" i="17"/>
  <c r="M116" i="17"/>
  <c r="J116" i="17"/>
  <c r="I116" i="17" s="1"/>
  <c r="G116" i="17"/>
  <c r="M115" i="17"/>
  <c r="J115" i="17"/>
  <c r="I115" i="17" s="1"/>
  <c r="H115" i="17"/>
  <c r="G115" i="17" s="1"/>
  <c r="C115" i="17"/>
  <c r="M114" i="17"/>
  <c r="J114" i="17"/>
  <c r="I114" i="17" s="1"/>
  <c r="H114" i="17"/>
  <c r="G114" i="17" s="1"/>
  <c r="M113" i="17"/>
  <c r="J113" i="17"/>
  <c r="I113" i="17"/>
  <c r="G113" i="17"/>
  <c r="M112" i="17"/>
  <c r="J112" i="17"/>
  <c r="I112" i="17"/>
  <c r="G112" i="17"/>
  <c r="M111" i="17"/>
  <c r="J111" i="17"/>
  <c r="I111" i="17"/>
  <c r="G111" i="17"/>
  <c r="M110" i="17"/>
  <c r="H110" i="17"/>
  <c r="J110" i="17" s="1"/>
  <c r="I110" i="17" s="1"/>
  <c r="G110" i="17"/>
  <c r="M109" i="17"/>
  <c r="J109" i="17"/>
  <c r="I109" i="17" s="1"/>
  <c r="G109" i="17"/>
  <c r="M108" i="17"/>
  <c r="J108" i="17"/>
  <c r="I108" i="17" s="1"/>
  <c r="G108" i="17"/>
  <c r="K101" i="17"/>
  <c r="M100" i="17"/>
  <c r="M101" i="17" s="1"/>
  <c r="J100" i="17"/>
  <c r="I100" i="17" s="1"/>
  <c r="G100" i="17"/>
  <c r="J99" i="17"/>
  <c r="I99" i="17"/>
  <c r="G99" i="17"/>
  <c r="J98" i="17"/>
  <c r="I98" i="17" s="1"/>
  <c r="I101" i="17" s="1"/>
  <c r="G98" i="17"/>
  <c r="K96" i="17"/>
  <c r="M95" i="17"/>
  <c r="J95" i="17"/>
  <c r="I95" i="17" s="1"/>
  <c r="G95" i="17"/>
  <c r="M94" i="17"/>
  <c r="J94" i="17"/>
  <c r="I94" i="17" s="1"/>
  <c r="G94" i="17"/>
  <c r="M93" i="17"/>
  <c r="J93" i="17"/>
  <c r="I93" i="17" s="1"/>
  <c r="G93" i="17"/>
  <c r="M92" i="17"/>
  <c r="J92" i="17"/>
  <c r="I92" i="17" s="1"/>
  <c r="G92" i="17"/>
  <c r="M91" i="17"/>
  <c r="J91" i="17"/>
  <c r="I91" i="17" s="1"/>
  <c r="G91" i="17"/>
  <c r="K84" i="17"/>
  <c r="M83" i="17"/>
  <c r="J83" i="17"/>
  <c r="I83" i="17" s="1"/>
  <c r="G83" i="17"/>
  <c r="M82" i="17"/>
  <c r="H82" i="17"/>
  <c r="G82" i="17" s="1"/>
  <c r="M81" i="17"/>
  <c r="J81" i="17"/>
  <c r="I81" i="17"/>
  <c r="G81" i="17"/>
  <c r="M80" i="17"/>
  <c r="J80" i="17"/>
  <c r="I80" i="17"/>
  <c r="G80" i="17"/>
  <c r="M79" i="17"/>
  <c r="J79" i="17"/>
  <c r="I79" i="17"/>
  <c r="G79" i="17"/>
  <c r="M78" i="17"/>
  <c r="J78" i="17"/>
  <c r="I78" i="17"/>
  <c r="G78" i="17"/>
  <c r="M77" i="17"/>
  <c r="J77" i="17"/>
  <c r="I77" i="17"/>
  <c r="G77" i="17"/>
  <c r="M76" i="17"/>
  <c r="J76" i="17"/>
  <c r="I76" i="17"/>
  <c r="G76" i="17"/>
  <c r="M75" i="17"/>
  <c r="J75" i="17"/>
  <c r="I75" i="17"/>
  <c r="G75" i="17"/>
  <c r="M74" i="17"/>
  <c r="J74" i="17"/>
  <c r="I74" i="17"/>
  <c r="G74" i="17"/>
  <c r="M73" i="17"/>
  <c r="M84" i="17" s="1"/>
  <c r="H73" i="17"/>
  <c r="J73" i="17" s="1"/>
  <c r="I73" i="17" s="1"/>
  <c r="K71" i="17"/>
  <c r="M70" i="17"/>
  <c r="J70" i="17"/>
  <c r="I70" i="17" s="1"/>
  <c r="G70" i="17"/>
  <c r="M69" i="17"/>
  <c r="M71" i="17" s="1"/>
  <c r="H69" i="17"/>
  <c r="G69" i="17" s="1"/>
  <c r="J68" i="17"/>
  <c r="I68" i="17" s="1"/>
  <c r="G68" i="17"/>
  <c r="J67" i="17"/>
  <c r="I67" i="17" s="1"/>
  <c r="G67" i="17"/>
  <c r="K60" i="17"/>
  <c r="M59" i="17"/>
  <c r="H59" i="17"/>
  <c r="J59" i="17" s="1"/>
  <c r="I59" i="17" s="1"/>
  <c r="M58" i="17"/>
  <c r="H58" i="17"/>
  <c r="G58" i="17" s="1"/>
  <c r="M57" i="17"/>
  <c r="H57" i="17"/>
  <c r="J57" i="17" s="1"/>
  <c r="I57" i="17" s="1"/>
  <c r="M56" i="17"/>
  <c r="J56" i="17"/>
  <c r="I56" i="17" s="1"/>
  <c r="G56" i="17"/>
  <c r="M55" i="17"/>
  <c r="J55" i="17"/>
  <c r="I55" i="17" s="1"/>
  <c r="H55" i="17"/>
  <c r="G55" i="17" s="1"/>
  <c r="M54" i="17"/>
  <c r="J54" i="17"/>
  <c r="I54" i="17"/>
  <c r="G54" i="17"/>
  <c r="M53" i="17"/>
  <c r="J53" i="17"/>
  <c r="I53" i="17"/>
  <c r="G53" i="17"/>
  <c r="M52" i="17"/>
  <c r="J52" i="17"/>
  <c r="I52" i="17"/>
  <c r="G52" i="17"/>
  <c r="M51" i="17"/>
  <c r="H51" i="17"/>
  <c r="J51" i="17" s="1"/>
  <c r="I51" i="17" s="1"/>
  <c r="G51" i="17"/>
  <c r="M50" i="17"/>
  <c r="H50" i="17"/>
  <c r="G50" i="17" s="1"/>
  <c r="M49" i="17"/>
  <c r="I49" i="17"/>
  <c r="H49" i="17"/>
  <c r="J49" i="17" s="1"/>
  <c r="G49" i="17"/>
  <c r="M48" i="17"/>
  <c r="J48" i="17"/>
  <c r="I48" i="17" s="1"/>
  <c r="G48" i="17"/>
  <c r="M47" i="17"/>
  <c r="J47" i="17"/>
  <c r="I47" i="17"/>
  <c r="G47" i="17"/>
  <c r="M46" i="17"/>
  <c r="M60" i="17" s="1"/>
  <c r="H46" i="17"/>
  <c r="J46" i="17" s="1"/>
  <c r="I46" i="17" s="1"/>
  <c r="G46" i="17"/>
  <c r="M45" i="17"/>
  <c r="H45" i="17"/>
  <c r="G45" i="17" s="1"/>
  <c r="K40" i="17"/>
  <c r="M39" i="17"/>
  <c r="J39" i="17"/>
  <c r="I39" i="17"/>
  <c r="G39" i="17"/>
  <c r="M38" i="17"/>
  <c r="J38" i="17"/>
  <c r="I38" i="17"/>
  <c r="G38" i="17"/>
  <c r="M37" i="17"/>
  <c r="H37" i="17"/>
  <c r="J37" i="17" s="1"/>
  <c r="I37" i="17" s="1"/>
  <c r="G37" i="17"/>
  <c r="M36" i="17"/>
  <c r="H36" i="17"/>
  <c r="G36" i="17" s="1"/>
  <c r="M35" i="17"/>
  <c r="J35" i="17"/>
  <c r="I35" i="17" s="1"/>
  <c r="G35" i="17"/>
  <c r="M34" i="17"/>
  <c r="H34" i="17"/>
  <c r="J34" i="17" s="1"/>
  <c r="I34" i="17" s="1"/>
  <c r="M33" i="17"/>
  <c r="H33" i="17"/>
  <c r="G33" i="17" s="1"/>
  <c r="M32" i="17"/>
  <c r="H32" i="17"/>
  <c r="J32" i="17" s="1"/>
  <c r="I32" i="17" s="1"/>
  <c r="G32" i="17"/>
  <c r="M31" i="17"/>
  <c r="J31" i="17"/>
  <c r="I31" i="17" s="1"/>
  <c r="G31" i="17"/>
  <c r="M30" i="17"/>
  <c r="J30" i="17"/>
  <c r="I30" i="17" s="1"/>
  <c r="G30" i="17"/>
  <c r="M29" i="17"/>
  <c r="H29" i="17"/>
  <c r="G29" i="17" s="1"/>
  <c r="H28" i="17"/>
  <c r="G28" i="17" s="1"/>
  <c r="M27" i="17"/>
  <c r="H27" i="17"/>
  <c r="J27" i="17" s="1"/>
  <c r="I27" i="17" s="1"/>
  <c r="G27" i="17"/>
  <c r="M26" i="17"/>
  <c r="H26" i="17"/>
  <c r="G26" i="17" s="1"/>
  <c r="M25" i="17"/>
  <c r="J25" i="17"/>
  <c r="I25" i="17" s="1"/>
  <c r="G25" i="17"/>
  <c r="M24" i="17"/>
  <c r="J24" i="17"/>
  <c r="I24" i="17" s="1"/>
  <c r="G24" i="17"/>
  <c r="K17" i="17"/>
  <c r="I8" i="17"/>
  <c r="G8" i="17"/>
  <c r="I7" i="17"/>
  <c r="M6" i="17"/>
  <c r="I6" i="17"/>
  <c r="I25" i="10" l="1"/>
  <c r="G60" i="17"/>
  <c r="G168" i="17"/>
  <c r="I183" i="17"/>
  <c r="J183" i="17"/>
  <c r="M40" i="17"/>
  <c r="G34" i="17"/>
  <c r="G57" i="17"/>
  <c r="J58" i="17"/>
  <c r="I58" i="17" s="1"/>
  <c r="G59" i="17"/>
  <c r="G71" i="17"/>
  <c r="G73" i="17"/>
  <c r="G84" i="17" s="1"/>
  <c r="G96" i="17"/>
  <c r="M96" i="17"/>
  <c r="G101" i="17"/>
  <c r="G119" i="17"/>
  <c r="G125" i="17" s="1"/>
  <c r="J122" i="17"/>
  <c r="I122" i="17" s="1"/>
  <c r="G123" i="17"/>
  <c r="G145" i="17"/>
  <c r="M148" i="17"/>
  <c r="J146" i="17"/>
  <c r="I146" i="17" s="1"/>
  <c r="I148" i="17" s="1"/>
  <c r="G147" i="17"/>
  <c r="J159" i="17"/>
  <c r="I159" i="17" s="1"/>
  <c r="I161" i="17" s="1"/>
  <c r="I168" i="17"/>
  <c r="G40" i="17"/>
  <c r="J26" i="17"/>
  <c r="I26" i="17" s="1"/>
  <c r="J28" i="17"/>
  <c r="I28" i="17" s="1"/>
  <c r="J29" i="17"/>
  <c r="I29" i="17" s="1"/>
  <c r="J33" i="17"/>
  <c r="I33" i="17" s="1"/>
  <c r="J36" i="17"/>
  <c r="I36" i="17" s="1"/>
  <c r="J45" i="17"/>
  <c r="I45" i="17" s="1"/>
  <c r="I60" i="17" s="1"/>
  <c r="J50" i="17"/>
  <c r="I50" i="17" s="1"/>
  <c r="J69" i="17"/>
  <c r="I69" i="17" s="1"/>
  <c r="I71" i="17" s="1"/>
  <c r="J82" i="17"/>
  <c r="I82" i="17" s="1"/>
  <c r="I84" i="17" s="1"/>
  <c r="I96" i="17"/>
  <c r="M125" i="17"/>
  <c r="J124" i="17"/>
  <c r="I124" i="17" s="1"/>
  <c r="I125" i="17" s="1"/>
  <c r="I135" i="17"/>
  <c r="G148" i="17"/>
  <c r="H6" i="8"/>
  <c r="G10" i="1"/>
  <c r="H6" i="7"/>
  <c r="D183" i="17" l="1"/>
  <c r="I40" i="17"/>
  <c r="F183" i="17"/>
  <c r="I6" i="7"/>
  <c r="D18" i="2" l="1"/>
  <c r="B18" i="2" s="1"/>
  <c r="H7" i="14"/>
  <c r="D22" i="2" s="1"/>
  <c r="G12" i="14"/>
  <c r="G12" i="13"/>
  <c r="H12" i="13"/>
  <c r="G17" i="12"/>
  <c r="G16" i="12"/>
  <c r="G15" i="12"/>
  <c r="G14" i="12"/>
  <c r="H12" i="8"/>
  <c r="D17" i="2" s="1"/>
  <c r="B17" i="2" s="1"/>
  <c r="G12" i="8"/>
  <c r="H12" i="7"/>
  <c r="D16" i="2" s="1"/>
  <c r="B16" i="2" s="1"/>
  <c r="H8" i="6"/>
  <c r="G9" i="6"/>
  <c r="G7" i="5"/>
  <c r="G6" i="4"/>
  <c r="G11" i="4" s="1"/>
  <c r="H9" i="4"/>
  <c r="H8" i="4"/>
  <c r="G11" i="1"/>
  <c r="C10" i="2" s="1"/>
  <c r="A10" i="2" s="1"/>
  <c r="H8" i="12"/>
  <c r="G7" i="9"/>
  <c r="I10" i="6"/>
  <c r="K167" i="14"/>
  <c r="M166" i="14"/>
  <c r="J166" i="14"/>
  <c r="I166" i="14" s="1"/>
  <c r="G166" i="14"/>
  <c r="M165" i="14"/>
  <c r="J165" i="14"/>
  <c r="I165" i="14" s="1"/>
  <c r="G165" i="14"/>
  <c r="M164" i="14"/>
  <c r="J164" i="14"/>
  <c r="I164" i="14" s="1"/>
  <c r="G164" i="14"/>
  <c r="B164" i="14"/>
  <c r="M163" i="14"/>
  <c r="H163" i="14"/>
  <c r="G163" i="14" s="1"/>
  <c r="B163" i="14"/>
  <c r="M162" i="14"/>
  <c r="M167" i="14" s="1"/>
  <c r="H162" i="14"/>
  <c r="G162" i="14" s="1"/>
  <c r="B162" i="14"/>
  <c r="K160" i="14"/>
  <c r="M159" i="14"/>
  <c r="M160" i="14" s="1"/>
  <c r="J159" i="14"/>
  <c r="I159" i="14" s="1"/>
  <c r="G159" i="14"/>
  <c r="H158" i="14"/>
  <c r="J158" i="14" s="1"/>
  <c r="I158" i="14" s="1"/>
  <c r="J157" i="14"/>
  <c r="I157" i="14" s="1"/>
  <c r="G157" i="14"/>
  <c r="J156" i="14"/>
  <c r="I156" i="14" s="1"/>
  <c r="M155" i="14"/>
  <c r="K155" i="14"/>
  <c r="J154" i="14"/>
  <c r="I154" i="14" s="1"/>
  <c r="J153" i="14"/>
  <c r="I153" i="14" s="1"/>
  <c r="G153" i="14"/>
  <c r="G155" i="14" s="1"/>
  <c r="K147" i="14"/>
  <c r="M146" i="14"/>
  <c r="H146" i="14"/>
  <c r="G146" i="14" s="1"/>
  <c r="M145" i="14"/>
  <c r="H145" i="14"/>
  <c r="J145" i="14" s="1"/>
  <c r="I145" i="14" s="1"/>
  <c r="G145" i="14"/>
  <c r="M144" i="14"/>
  <c r="H144" i="14"/>
  <c r="G144" i="14" s="1"/>
  <c r="M143" i="14"/>
  <c r="J143" i="14"/>
  <c r="I143" i="14" s="1"/>
  <c r="G143" i="14"/>
  <c r="M142" i="14"/>
  <c r="J142" i="14"/>
  <c r="I142" i="14" s="1"/>
  <c r="G142" i="14"/>
  <c r="M141" i="14"/>
  <c r="J141" i="14"/>
  <c r="I141" i="14" s="1"/>
  <c r="G141" i="14"/>
  <c r="M140" i="14"/>
  <c r="J140" i="14"/>
  <c r="I140" i="14" s="1"/>
  <c r="G140" i="14"/>
  <c r="M139" i="14"/>
  <c r="J139" i="14"/>
  <c r="I139" i="14" s="1"/>
  <c r="G139" i="14"/>
  <c r="M138" i="14"/>
  <c r="J138" i="14"/>
  <c r="I138" i="14" s="1"/>
  <c r="G138" i="14"/>
  <c r="M137" i="14"/>
  <c r="J137" i="14"/>
  <c r="I137" i="14" s="1"/>
  <c r="G137" i="14"/>
  <c r="M136" i="14"/>
  <c r="M147" i="14" s="1"/>
  <c r="J136" i="14"/>
  <c r="I136" i="14" s="1"/>
  <c r="G136" i="14"/>
  <c r="K134" i="14"/>
  <c r="M133" i="14"/>
  <c r="J133" i="14"/>
  <c r="I133" i="14" s="1"/>
  <c r="G133" i="14"/>
  <c r="G134" i="14" s="1"/>
  <c r="M132" i="14"/>
  <c r="J132" i="14"/>
  <c r="I132" i="14" s="1"/>
  <c r="M131" i="14"/>
  <c r="J131" i="14"/>
  <c r="I131" i="14" s="1"/>
  <c r="K124" i="14"/>
  <c r="M123" i="14"/>
  <c r="H123" i="14"/>
  <c r="J123" i="14" s="1"/>
  <c r="I123" i="14" s="1"/>
  <c r="M122" i="14"/>
  <c r="H122" i="14"/>
  <c r="G122" i="14"/>
  <c r="M121" i="14"/>
  <c r="H121" i="14"/>
  <c r="J121" i="14" s="1"/>
  <c r="I121" i="14" s="1"/>
  <c r="M120" i="14"/>
  <c r="J120" i="14"/>
  <c r="I120" i="14" s="1"/>
  <c r="G120" i="14"/>
  <c r="M119" i="14"/>
  <c r="J119" i="14"/>
  <c r="I119" i="14" s="1"/>
  <c r="G119" i="14"/>
  <c r="M118" i="14"/>
  <c r="H118" i="14"/>
  <c r="G118" i="14" s="1"/>
  <c r="M117" i="14"/>
  <c r="J117" i="14"/>
  <c r="I117" i="14" s="1"/>
  <c r="G117" i="14"/>
  <c r="M116" i="14"/>
  <c r="J116" i="14"/>
  <c r="I116" i="14" s="1"/>
  <c r="G116" i="14"/>
  <c r="M115" i="14"/>
  <c r="J115" i="14"/>
  <c r="I115" i="14" s="1"/>
  <c r="G115" i="14"/>
  <c r="M114" i="14"/>
  <c r="H114" i="14"/>
  <c r="J114" i="14" s="1"/>
  <c r="I114" i="14" s="1"/>
  <c r="C114" i="14"/>
  <c r="M113" i="14"/>
  <c r="H113" i="14"/>
  <c r="J113" i="14" s="1"/>
  <c r="I113" i="14" s="1"/>
  <c r="M112" i="14"/>
  <c r="J112" i="14"/>
  <c r="I112" i="14" s="1"/>
  <c r="G112" i="14"/>
  <c r="M111" i="14"/>
  <c r="J111" i="14"/>
  <c r="I111" i="14" s="1"/>
  <c r="G111" i="14"/>
  <c r="M110" i="14"/>
  <c r="J110" i="14"/>
  <c r="I110" i="14" s="1"/>
  <c r="G110" i="14"/>
  <c r="M109" i="14"/>
  <c r="H109" i="14"/>
  <c r="G109" i="14" s="1"/>
  <c r="M108" i="14"/>
  <c r="J108" i="14"/>
  <c r="I108" i="14" s="1"/>
  <c r="G108" i="14"/>
  <c r="M107" i="14"/>
  <c r="M124" i="14" s="1"/>
  <c r="J107" i="14"/>
  <c r="I107" i="14" s="1"/>
  <c r="G107" i="14"/>
  <c r="K100" i="14"/>
  <c r="M99" i="14"/>
  <c r="M100" i="14" s="1"/>
  <c r="J99" i="14"/>
  <c r="I99" i="14" s="1"/>
  <c r="I100" i="14" s="1"/>
  <c r="G99" i="14"/>
  <c r="J98" i="14"/>
  <c r="I98" i="14" s="1"/>
  <c r="G98" i="14"/>
  <c r="J97" i="14"/>
  <c r="I97" i="14" s="1"/>
  <c r="G97" i="14"/>
  <c r="G100" i="14" s="1"/>
  <c r="K95" i="14"/>
  <c r="M94" i="14"/>
  <c r="J94" i="14"/>
  <c r="I94" i="14" s="1"/>
  <c r="G94" i="14"/>
  <c r="M93" i="14"/>
  <c r="J93" i="14"/>
  <c r="I93" i="14" s="1"/>
  <c r="G93" i="14"/>
  <c r="M92" i="14"/>
  <c r="J92" i="14"/>
  <c r="I92" i="14" s="1"/>
  <c r="G92" i="14"/>
  <c r="M91" i="14"/>
  <c r="J91" i="14"/>
  <c r="I91" i="14" s="1"/>
  <c r="G91" i="14"/>
  <c r="M90" i="14"/>
  <c r="M95" i="14" s="1"/>
  <c r="J90" i="14"/>
  <c r="I90" i="14" s="1"/>
  <c r="G90" i="14"/>
  <c r="G95" i="14" s="1"/>
  <c r="K83" i="14"/>
  <c r="M82" i="14"/>
  <c r="J82" i="14"/>
  <c r="I82" i="14" s="1"/>
  <c r="G82" i="14"/>
  <c r="M81" i="14"/>
  <c r="H81" i="14"/>
  <c r="J81" i="14" s="1"/>
  <c r="I81" i="14" s="1"/>
  <c r="M80" i="14"/>
  <c r="J80" i="14"/>
  <c r="I80" i="14" s="1"/>
  <c r="G80" i="14"/>
  <c r="M79" i="14"/>
  <c r="J79" i="14"/>
  <c r="I79" i="14" s="1"/>
  <c r="G79" i="14"/>
  <c r="M78" i="14"/>
  <c r="J78" i="14"/>
  <c r="I78" i="14" s="1"/>
  <c r="G78" i="14"/>
  <c r="M77" i="14"/>
  <c r="J77" i="14"/>
  <c r="I77" i="14" s="1"/>
  <c r="G77" i="14"/>
  <c r="M76" i="14"/>
  <c r="J76" i="14"/>
  <c r="I76" i="14" s="1"/>
  <c r="G76" i="14"/>
  <c r="M75" i="14"/>
  <c r="J75" i="14"/>
  <c r="I75" i="14" s="1"/>
  <c r="G75" i="14"/>
  <c r="M74" i="14"/>
  <c r="J74" i="14"/>
  <c r="I74" i="14" s="1"/>
  <c r="G74" i="14"/>
  <c r="M73" i="14"/>
  <c r="J73" i="14"/>
  <c r="I73" i="14" s="1"/>
  <c r="G73" i="14"/>
  <c r="M72" i="14"/>
  <c r="H72" i="14"/>
  <c r="G72" i="14" s="1"/>
  <c r="K70" i="14"/>
  <c r="M69" i="14"/>
  <c r="J69" i="14"/>
  <c r="I69" i="14" s="1"/>
  <c r="G69" i="14"/>
  <c r="M68" i="14"/>
  <c r="M70" i="14" s="1"/>
  <c r="H68" i="14"/>
  <c r="J68" i="14" s="1"/>
  <c r="I68" i="14" s="1"/>
  <c r="G68" i="14"/>
  <c r="J67" i="14"/>
  <c r="I67" i="14" s="1"/>
  <c r="G67" i="14"/>
  <c r="J66" i="14"/>
  <c r="I66" i="14" s="1"/>
  <c r="G66" i="14"/>
  <c r="K59" i="14"/>
  <c r="M58" i="14"/>
  <c r="H58" i="14"/>
  <c r="G58" i="14" s="1"/>
  <c r="M57" i="14"/>
  <c r="H57" i="14"/>
  <c r="J57" i="14" s="1"/>
  <c r="I57" i="14" s="1"/>
  <c r="M56" i="14"/>
  <c r="H56" i="14"/>
  <c r="G56" i="14"/>
  <c r="M55" i="14"/>
  <c r="J55" i="14"/>
  <c r="I55" i="14" s="1"/>
  <c r="G55" i="14"/>
  <c r="M54" i="14"/>
  <c r="H54" i="14"/>
  <c r="J54" i="14" s="1"/>
  <c r="I54" i="14" s="1"/>
  <c r="M53" i="14"/>
  <c r="J53" i="14"/>
  <c r="I53" i="14"/>
  <c r="G53" i="14"/>
  <c r="M52" i="14"/>
  <c r="J52" i="14"/>
  <c r="I52" i="14"/>
  <c r="G52" i="14"/>
  <c r="M51" i="14"/>
  <c r="J51" i="14"/>
  <c r="I51" i="14"/>
  <c r="G51" i="14"/>
  <c r="M50" i="14"/>
  <c r="H50" i="14"/>
  <c r="G50" i="14"/>
  <c r="M49" i="14"/>
  <c r="H49" i="14"/>
  <c r="J49" i="14" s="1"/>
  <c r="I49" i="14" s="1"/>
  <c r="M48" i="14"/>
  <c r="H48" i="14"/>
  <c r="G48" i="14" s="1"/>
  <c r="M47" i="14"/>
  <c r="J47" i="14"/>
  <c r="I47" i="14" s="1"/>
  <c r="G47" i="14"/>
  <c r="M46" i="14"/>
  <c r="J46" i="14"/>
  <c r="I46" i="14" s="1"/>
  <c r="G46" i="14"/>
  <c r="M45" i="14"/>
  <c r="H45" i="14"/>
  <c r="J45" i="14" s="1"/>
  <c r="I45" i="14" s="1"/>
  <c r="M44" i="14"/>
  <c r="H44" i="14"/>
  <c r="G44" i="14" s="1"/>
  <c r="K39" i="14"/>
  <c r="M38" i="14"/>
  <c r="J38" i="14"/>
  <c r="I38" i="14" s="1"/>
  <c r="G38" i="14"/>
  <c r="M37" i="14"/>
  <c r="J37" i="14"/>
  <c r="I37" i="14" s="1"/>
  <c r="G37" i="14"/>
  <c r="M36" i="14"/>
  <c r="H36" i="14"/>
  <c r="J36" i="14" s="1"/>
  <c r="I36" i="14" s="1"/>
  <c r="M35" i="14"/>
  <c r="H35" i="14"/>
  <c r="J35" i="14"/>
  <c r="I35" i="14" s="1"/>
  <c r="G35" i="14"/>
  <c r="M34" i="14"/>
  <c r="J34" i="14"/>
  <c r="I34" i="14" s="1"/>
  <c r="G34" i="14"/>
  <c r="M33" i="14"/>
  <c r="H33" i="14"/>
  <c r="J33" i="14" s="1"/>
  <c r="I33" i="14" s="1"/>
  <c r="M32" i="14"/>
  <c r="H32" i="14"/>
  <c r="J32" i="14" s="1"/>
  <c r="I32" i="14" s="1"/>
  <c r="M31" i="14"/>
  <c r="H31" i="14"/>
  <c r="J31" i="14" s="1"/>
  <c r="I31" i="14" s="1"/>
  <c r="M30" i="14"/>
  <c r="J30" i="14"/>
  <c r="I30" i="14" s="1"/>
  <c r="G30" i="14"/>
  <c r="M29" i="14"/>
  <c r="J29" i="14"/>
  <c r="I29" i="14" s="1"/>
  <c r="G29" i="14"/>
  <c r="M28" i="14"/>
  <c r="H28" i="14"/>
  <c r="J28" i="14" s="1"/>
  <c r="I28" i="14" s="1"/>
  <c r="G28" i="14"/>
  <c r="H27" i="14"/>
  <c r="G27" i="14" s="1"/>
  <c r="M26" i="14"/>
  <c r="H26" i="14"/>
  <c r="J26" i="14" s="1"/>
  <c r="I26" i="14" s="1"/>
  <c r="M25" i="14"/>
  <c r="H25" i="14"/>
  <c r="J25" i="14" s="1"/>
  <c r="I25" i="14" s="1"/>
  <c r="M24" i="14"/>
  <c r="J24" i="14"/>
  <c r="I24" i="14"/>
  <c r="G24" i="14"/>
  <c r="M23" i="14"/>
  <c r="M39" i="14" s="1"/>
  <c r="J23" i="14"/>
  <c r="I23" i="14" s="1"/>
  <c r="G23" i="14"/>
  <c r="K16" i="14"/>
  <c r="M15" i="14"/>
  <c r="I15" i="14"/>
  <c r="G15" i="14"/>
  <c r="M14" i="14"/>
  <c r="I14" i="14"/>
  <c r="G14" i="14"/>
  <c r="M13" i="14"/>
  <c r="I13" i="14"/>
  <c r="G13" i="14"/>
  <c r="M12" i="14"/>
  <c r="I12" i="14"/>
  <c r="M11" i="14"/>
  <c r="I11" i="14"/>
  <c r="M10" i="14"/>
  <c r="I10" i="14"/>
  <c r="M9" i="14"/>
  <c r="I9" i="14"/>
  <c r="M8" i="14"/>
  <c r="I8" i="14"/>
  <c r="M7" i="14"/>
  <c r="I7" i="14"/>
  <c r="M22" i="2" s="1"/>
  <c r="K22" i="2" s="1"/>
  <c r="K163" i="13"/>
  <c r="M162" i="13"/>
  <c r="J162" i="13"/>
  <c r="I162" i="13" s="1"/>
  <c r="G162" i="13"/>
  <c r="M161" i="13"/>
  <c r="J161" i="13"/>
  <c r="I161" i="13" s="1"/>
  <c r="G161" i="13"/>
  <c r="M160" i="13"/>
  <c r="J160" i="13"/>
  <c r="I160" i="13" s="1"/>
  <c r="G160" i="13"/>
  <c r="B160" i="13"/>
  <c r="M159" i="13"/>
  <c r="H159" i="13"/>
  <c r="G159" i="13" s="1"/>
  <c r="B159" i="13"/>
  <c r="M158" i="13"/>
  <c r="H158" i="13"/>
  <c r="G158" i="13" s="1"/>
  <c r="B158" i="13"/>
  <c r="K156" i="13"/>
  <c r="M155" i="13"/>
  <c r="M156" i="13" s="1"/>
  <c r="J155" i="13"/>
  <c r="I155" i="13" s="1"/>
  <c r="G155" i="13"/>
  <c r="H154" i="13"/>
  <c r="J154" i="13" s="1"/>
  <c r="I154" i="13" s="1"/>
  <c r="I156" i="13" s="1"/>
  <c r="G154" i="13"/>
  <c r="J153" i="13"/>
  <c r="I153" i="13" s="1"/>
  <c r="G153" i="13"/>
  <c r="J152" i="13"/>
  <c r="I152" i="13" s="1"/>
  <c r="M151" i="13"/>
  <c r="K151" i="13"/>
  <c r="J150" i="13"/>
  <c r="I150" i="13" s="1"/>
  <c r="I151" i="13" s="1"/>
  <c r="J149" i="13"/>
  <c r="I149" i="13" s="1"/>
  <c r="G149" i="13"/>
  <c r="G151" i="13" s="1"/>
  <c r="K143" i="13"/>
  <c r="M142" i="13"/>
  <c r="H142" i="13"/>
  <c r="G142" i="13" s="1"/>
  <c r="M141" i="13"/>
  <c r="H141" i="13"/>
  <c r="J141" i="13" s="1"/>
  <c r="I141" i="13" s="1"/>
  <c r="M140" i="13"/>
  <c r="H140" i="13"/>
  <c r="G140" i="13"/>
  <c r="M139" i="13"/>
  <c r="J139" i="13"/>
  <c r="I139" i="13" s="1"/>
  <c r="G139" i="13"/>
  <c r="M138" i="13"/>
  <c r="J138" i="13"/>
  <c r="I138" i="13" s="1"/>
  <c r="G138" i="13"/>
  <c r="M137" i="13"/>
  <c r="J137" i="13"/>
  <c r="I137" i="13" s="1"/>
  <c r="G137" i="13"/>
  <c r="M136" i="13"/>
  <c r="J136" i="13"/>
  <c r="I136" i="13" s="1"/>
  <c r="G136" i="13"/>
  <c r="M135" i="13"/>
  <c r="J135" i="13"/>
  <c r="I135" i="13" s="1"/>
  <c r="G135" i="13"/>
  <c r="M134" i="13"/>
  <c r="J134" i="13"/>
  <c r="I134" i="13" s="1"/>
  <c r="G134" i="13"/>
  <c r="M133" i="13"/>
  <c r="J133" i="13"/>
  <c r="I133" i="13" s="1"/>
  <c r="G133" i="13"/>
  <c r="M132" i="13"/>
  <c r="M143" i="13" s="1"/>
  <c r="J132" i="13"/>
  <c r="I132" i="13" s="1"/>
  <c r="G132" i="13"/>
  <c r="K130" i="13"/>
  <c r="M129" i="13"/>
  <c r="J129" i="13"/>
  <c r="I129" i="13"/>
  <c r="G129" i="13"/>
  <c r="G130" i="13"/>
  <c r="M128" i="13"/>
  <c r="J128" i="13"/>
  <c r="I128" i="13" s="1"/>
  <c r="M127" i="13"/>
  <c r="J127" i="13"/>
  <c r="I127" i="13" s="1"/>
  <c r="I130" i="13" s="1"/>
  <c r="K120" i="13"/>
  <c r="M119" i="13"/>
  <c r="H119" i="13"/>
  <c r="J119" i="13"/>
  <c r="I119" i="13" s="1"/>
  <c r="M118" i="13"/>
  <c r="H118" i="13"/>
  <c r="G118" i="13" s="1"/>
  <c r="M117" i="13"/>
  <c r="H117" i="13"/>
  <c r="J117" i="13" s="1"/>
  <c r="I117" i="13" s="1"/>
  <c r="M116" i="13"/>
  <c r="J116" i="13"/>
  <c r="I116" i="13" s="1"/>
  <c r="G116" i="13"/>
  <c r="M115" i="13"/>
  <c r="J115" i="13"/>
  <c r="I115" i="13" s="1"/>
  <c r="G115" i="13"/>
  <c r="M114" i="13"/>
  <c r="H114" i="13"/>
  <c r="G114" i="13" s="1"/>
  <c r="M113" i="13"/>
  <c r="J113" i="13"/>
  <c r="I113" i="13" s="1"/>
  <c r="G113" i="13"/>
  <c r="M112" i="13"/>
  <c r="J112" i="13"/>
  <c r="I112" i="13" s="1"/>
  <c r="G112" i="13"/>
  <c r="M111" i="13"/>
  <c r="J111" i="13"/>
  <c r="I111" i="13" s="1"/>
  <c r="G111" i="13"/>
  <c r="M110" i="13"/>
  <c r="H110" i="13"/>
  <c r="J110" i="13" s="1"/>
  <c r="I110" i="13" s="1"/>
  <c r="C110" i="13"/>
  <c r="M109" i="13"/>
  <c r="H109" i="13"/>
  <c r="J109" i="13" s="1"/>
  <c r="I109" i="13" s="1"/>
  <c r="M108" i="13"/>
  <c r="J108" i="13"/>
  <c r="I108" i="13" s="1"/>
  <c r="G108" i="13"/>
  <c r="M107" i="13"/>
  <c r="J107" i="13"/>
  <c r="I107" i="13" s="1"/>
  <c r="G107" i="13"/>
  <c r="M106" i="13"/>
  <c r="J106" i="13"/>
  <c r="I106" i="13" s="1"/>
  <c r="G106" i="13"/>
  <c r="M105" i="13"/>
  <c r="H105" i="13"/>
  <c r="G105" i="13" s="1"/>
  <c r="M104" i="13"/>
  <c r="J104" i="13"/>
  <c r="I104" i="13" s="1"/>
  <c r="G104" i="13"/>
  <c r="M103" i="13"/>
  <c r="J103" i="13"/>
  <c r="I103" i="13" s="1"/>
  <c r="G103" i="13"/>
  <c r="K96" i="13"/>
  <c r="M95" i="13"/>
  <c r="M96" i="13" s="1"/>
  <c r="J95" i="13"/>
  <c r="I95" i="13" s="1"/>
  <c r="G95" i="13"/>
  <c r="J94" i="13"/>
  <c r="I94" i="13" s="1"/>
  <c r="I96" i="13" s="1"/>
  <c r="G94" i="13"/>
  <c r="J93" i="13"/>
  <c r="I93" i="13" s="1"/>
  <c r="G93" i="13"/>
  <c r="K91" i="13"/>
  <c r="M90" i="13"/>
  <c r="J90" i="13"/>
  <c r="I90" i="13" s="1"/>
  <c r="G90" i="13"/>
  <c r="M89" i="13"/>
  <c r="J89" i="13"/>
  <c r="I89" i="13" s="1"/>
  <c r="G89" i="13"/>
  <c r="M88" i="13"/>
  <c r="J88" i="13"/>
  <c r="I88" i="13" s="1"/>
  <c r="G88" i="13"/>
  <c r="M87" i="13"/>
  <c r="J87" i="13"/>
  <c r="I87" i="13" s="1"/>
  <c r="G87" i="13"/>
  <c r="M86" i="13"/>
  <c r="M91" i="13" s="1"/>
  <c r="J86" i="13"/>
  <c r="I86" i="13" s="1"/>
  <c r="G86" i="13"/>
  <c r="K79" i="13"/>
  <c r="M78" i="13"/>
  <c r="J78" i="13"/>
  <c r="I78" i="13" s="1"/>
  <c r="G78" i="13"/>
  <c r="M77" i="13"/>
  <c r="H77" i="13"/>
  <c r="J77" i="13" s="1"/>
  <c r="I77" i="13" s="1"/>
  <c r="M76" i="13"/>
  <c r="J76" i="13"/>
  <c r="I76" i="13" s="1"/>
  <c r="G76" i="13"/>
  <c r="M75" i="13"/>
  <c r="J75" i="13"/>
  <c r="I75" i="13" s="1"/>
  <c r="G75" i="13"/>
  <c r="M74" i="13"/>
  <c r="J74" i="13"/>
  <c r="I74" i="13" s="1"/>
  <c r="G74" i="13"/>
  <c r="M73" i="13"/>
  <c r="J73" i="13"/>
  <c r="I73" i="13" s="1"/>
  <c r="G73" i="13"/>
  <c r="M72" i="13"/>
  <c r="J72" i="13"/>
  <c r="I72" i="13" s="1"/>
  <c r="G72" i="13"/>
  <c r="M71" i="13"/>
  <c r="J71" i="13"/>
  <c r="I71" i="13" s="1"/>
  <c r="G71" i="13"/>
  <c r="M70" i="13"/>
  <c r="J70" i="13"/>
  <c r="I70" i="13" s="1"/>
  <c r="G70" i="13"/>
  <c r="M69" i="13"/>
  <c r="J69" i="13"/>
  <c r="I69" i="13" s="1"/>
  <c r="G69" i="13"/>
  <c r="M68" i="13"/>
  <c r="H68" i="13"/>
  <c r="G68" i="13" s="1"/>
  <c r="K66" i="13"/>
  <c r="M65" i="13"/>
  <c r="J65" i="13"/>
  <c r="I65" i="13" s="1"/>
  <c r="G65" i="13"/>
  <c r="M64" i="13"/>
  <c r="H64" i="13"/>
  <c r="J64" i="13" s="1"/>
  <c r="I64" i="13" s="1"/>
  <c r="J63" i="13"/>
  <c r="I63" i="13"/>
  <c r="G63" i="13"/>
  <c r="J62" i="13"/>
  <c r="I62" i="13" s="1"/>
  <c r="G62" i="13"/>
  <c r="K55" i="13"/>
  <c r="M54" i="13"/>
  <c r="H54" i="13"/>
  <c r="G54" i="13" s="1"/>
  <c r="M53" i="13"/>
  <c r="H53" i="13"/>
  <c r="J53" i="13" s="1"/>
  <c r="I53" i="13" s="1"/>
  <c r="M52" i="13"/>
  <c r="H52" i="13"/>
  <c r="G52" i="13" s="1"/>
  <c r="M51" i="13"/>
  <c r="J51" i="13"/>
  <c r="I51" i="13" s="1"/>
  <c r="G51" i="13"/>
  <c r="M50" i="13"/>
  <c r="H50" i="13"/>
  <c r="J50" i="13" s="1"/>
  <c r="I50" i="13" s="1"/>
  <c r="M49" i="13"/>
  <c r="J49" i="13"/>
  <c r="I49" i="13" s="1"/>
  <c r="G49" i="13"/>
  <c r="M48" i="13"/>
  <c r="J48" i="13"/>
  <c r="I48" i="13" s="1"/>
  <c r="G48" i="13"/>
  <c r="M47" i="13"/>
  <c r="J47" i="13"/>
  <c r="I47" i="13" s="1"/>
  <c r="G47" i="13"/>
  <c r="M46" i="13"/>
  <c r="H46" i="13"/>
  <c r="G46" i="13" s="1"/>
  <c r="M45" i="13"/>
  <c r="H45" i="13"/>
  <c r="J45" i="13" s="1"/>
  <c r="I45" i="13" s="1"/>
  <c r="G45" i="13"/>
  <c r="M44" i="13"/>
  <c r="H44" i="13"/>
  <c r="G44" i="13" s="1"/>
  <c r="M43" i="13"/>
  <c r="J43" i="13"/>
  <c r="I43" i="13" s="1"/>
  <c r="G43" i="13"/>
  <c r="M42" i="13"/>
  <c r="J42" i="13"/>
  <c r="I42" i="13" s="1"/>
  <c r="G42" i="13"/>
  <c r="M41" i="13"/>
  <c r="H41" i="13"/>
  <c r="J41" i="13" s="1"/>
  <c r="I41" i="13" s="1"/>
  <c r="G41" i="13"/>
  <c r="M40" i="13"/>
  <c r="H40" i="13"/>
  <c r="G40" i="13" s="1"/>
  <c r="K35" i="13"/>
  <c r="M34" i="13"/>
  <c r="J34" i="13"/>
  <c r="I34" i="13" s="1"/>
  <c r="G34" i="13"/>
  <c r="M33" i="13"/>
  <c r="J33" i="13"/>
  <c r="I33" i="13" s="1"/>
  <c r="G33" i="13"/>
  <c r="M32" i="13"/>
  <c r="H32" i="13"/>
  <c r="J32" i="13" s="1"/>
  <c r="I32" i="13" s="1"/>
  <c r="M31" i="13"/>
  <c r="H31" i="13"/>
  <c r="G31" i="13" s="1"/>
  <c r="M30" i="13"/>
  <c r="J30" i="13"/>
  <c r="I30" i="13" s="1"/>
  <c r="G30" i="13"/>
  <c r="M29" i="13"/>
  <c r="H29" i="13"/>
  <c r="J29" i="13" s="1"/>
  <c r="I29" i="13" s="1"/>
  <c r="M28" i="13"/>
  <c r="H28" i="13"/>
  <c r="G28" i="13" s="1"/>
  <c r="M27" i="13"/>
  <c r="H27" i="13"/>
  <c r="J27" i="13" s="1"/>
  <c r="I27" i="13" s="1"/>
  <c r="M26" i="13"/>
  <c r="J26" i="13"/>
  <c r="I26" i="13" s="1"/>
  <c r="G26" i="13"/>
  <c r="M25" i="13"/>
  <c r="J25" i="13"/>
  <c r="I25" i="13" s="1"/>
  <c r="G25" i="13"/>
  <c r="M24" i="13"/>
  <c r="H24" i="13"/>
  <c r="G24" i="13" s="1"/>
  <c r="H23" i="13"/>
  <c r="G23" i="13" s="1"/>
  <c r="M22" i="13"/>
  <c r="H22" i="13"/>
  <c r="J22" i="13" s="1"/>
  <c r="I22" i="13" s="1"/>
  <c r="M21" i="13"/>
  <c r="H21" i="13"/>
  <c r="J21" i="13" s="1"/>
  <c r="I21" i="13" s="1"/>
  <c r="M20" i="13"/>
  <c r="J20" i="13"/>
  <c r="I20" i="13" s="1"/>
  <c r="G20" i="13"/>
  <c r="M19" i="13"/>
  <c r="J19" i="13"/>
  <c r="I19" i="13" s="1"/>
  <c r="G19" i="13"/>
  <c r="K12" i="13"/>
  <c r="M10" i="13"/>
  <c r="I10" i="13"/>
  <c r="M9" i="13"/>
  <c r="I9" i="13"/>
  <c r="M8" i="13"/>
  <c r="I8" i="13"/>
  <c r="M7" i="13"/>
  <c r="I7" i="13"/>
  <c r="M6" i="13"/>
  <c r="I6" i="13"/>
  <c r="I12" i="13" s="1"/>
  <c r="M21" i="2" s="1"/>
  <c r="K21" i="2" s="1"/>
  <c r="K168" i="12"/>
  <c r="M167" i="12"/>
  <c r="J167" i="12"/>
  <c r="I167" i="12" s="1"/>
  <c r="G167" i="12"/>
  <c r="M166" i="12"/>
  <c r="J166" i="12"/>
  <c r="I166" i="12" s="1"/>
  <c r="G166" i="12"/>
  <c r="M165" i="12"/>
  <c r="J165" i="12"/>
  <c r="I165" i="12" s="1"/>
  <c r="G165" i="12"/>
  <c r="B165" i="12"/>
  <c r="M164" i="12"/>
  <c r="H164" i="12"/>
  <c r="G164" i="12" s="1"/>
  <c r="G168" i="12" s="1"/>
  <c r="B164" i="12"/>
  <c r="M163" i="12"/>
  <c r="H163" i="12"/>
  <c r="G163" i="12" s="1"/>
  <c r="B163" i="12"/>
  <c r="K161" i="12"/>
  <c r="M160" i="12"/>
  <c r="M161" i="12" s="1"/>
  <c r="J160" i="12"/>
  <c r="I160" i="12" s="1"/>
  <c r="G160" i="12"/>
  <c r="H159" i="12"/>
  <c r="J159" i="12" s="1"/>
  <c r="I159" i="12" s="1"/>
  <c r="J158" i="12"/>
  <c r="I158" i="12"/>
  <c r="G158" i="12"/>
  <c r="J157" i="12"/>
  <c r="I157" i="12" s="1"/>
  <c r="M156" i="12"/>
  <c r="K156" i="12"/>
  <c r="J155" i="12"/>
  <c r="I155" i="12"/>
  <c r="J154" i="12"/>
  <c r="I154" i="12"/>
  <c r="I156" i="12" s="1"/>
  <c r="G154" i="12"/>
  <c r="G156" i="12" s="1"/>
  <c r="K148" i="12"/>
  <c r="M147" i="12"/>
  <c r="H147" i="12"/>
  <c r="G147" i="12" s="1"/>
  <c r="M146" i="12"/>
  <c r="H146" i="12"/>
  <c r="J146" i="12" s="1"/>
  <c r="I146" i="12" s="1"/>
  <c r="M145" i="12"/>
  <c r="H145" i="12"/>
  <c r="G145" i="12" s="1"/>
  <c r="M144" i="12"/>
  <c r="J144" i="12"/>
  <c r="I144" i="12" s="1"/>
  <c r="G144" i="12"/>
  <c r="M143" i="12"/>
  <c r="J143" i="12"/>
  <c r="I143" i="12" s="1"/>
  <c r="G143" i="12"/>
  <c r="M142" i="12"/>
  <c r="J142" i="12"/>
  <c r="I142" i="12" s="1"/>
  <c r="G142" i="12"/>
  <c r="M141" i="12"/>
  <c r="J141" i="12"/>
  <c r="I141" i="12" s="1"/>
  <c r="G141" i="12"/>
  <c r="M140" i="12"/>
  <c r="J140" i="12"/>
  <c r="I140" i="12" s="1"/>
  <c r="G140" i="12"/>
  <c r="M139" i="12"/>
  <c r="J139" i="12"/>
  <c r="I139" i="12" s="1"/>
  <c r="G139" i="12"/>
  <c r="M138" i="12"/>
  <c r="J138" i="12"/>
  <c r="I138" i="12" s="1"/>
  <c r="G138" i="12"/>
  <c r="M137" i="12"/>
  <c r="M148" i="12"/>
  <c r="J137" i="12"/>
  <c r="I137" i="12"/>
  <c r="G137" i="12"/>
  <c r="K135" i="12"/>
  <c r="M134" i="12"/>
  <c r="J134" i="12"/>
  <c r="I134" i="12" s="1"/>
  <c r="G134" i="12"/>
  <c r="G135" i="12" s="1"/>
  <c r="M133" i="12"/>
  <c r="J133" i="12"/>
  <c r="I133" i="12" s="1"/>
  <c r="M132" i="12"/>
  <c r="M135" i="12" s="1"/>
  <c r="J132" i="12"/>
  <c r="I132" i="12" s="1"/>
  <c r="K125" i="12"/>
  <c r="M124" i="12"/>
  <c r="H124" i="12"/>
  <c r="J124" i="12" s="1"/>
  <c r="I124" i="12" s="1"/>
  <c r="M123" i="12"/>
  <c r="H123" i="12"/>
  <c r="G123" i="12" s="1"/>
  <c r="M122" i="12"/>
  <c r="H122" i="12"/>
  <c r="J122" i="12" s="1"/>
  <c r="I122" i="12" s="1"/>
  <c r="G122" i="12"/>
  <c r="M121" i="12"/>
  <c r="J121" i="12"/>
  <c r="I121" i="12" s="1"/>
  <c r="G121" i="12"/>
  <c r="M120" i="12"/>
  <c r="J120" i="12"/>
  <c r="I120" i="12" s="1"/>
  <c r="G120" i="12"/>
  <c r="M119" i="12"/>
  <c r="H119" i="12"/>
  <c r="G119" i="12" s="1"/>
  <c r="M118" i="12"/>
  <c r="J118" i="12"/>
  <c r="I118" i="12" s="1"/>
  <c r="G118" i="12"/>
  <c r="M117" i="12"/>
  <c r="J117" i="12"/>
  <c r="I117" i="12" s="1"/>
  <c r="G117" i="12"/>
  <c r="M116" i="12"/>
  <c r="J116" i="12"/>
  <c r="I116" i="12" s="1"/>
  <c r="G116" i="12"/>
  <c r="M115" i="12"/>
  <c r="H115" i="12"/>
  <c r="J115" i="12" s="1"/>
  <c r="I115" i="12" s="1"/>
  <c r="G115" i="12"/>
  <c r="C115" i="12"/>
  <c r="M114" i="12"/>
  <c r="H114" i="12"/>
  <c r="J114" i="12"/>
  <c r="I114" i="12" s="1"/>
  <c r="G114" i="12"/>
  <c r="M113" i="12"/>
  <c r="J113" i="12"/>
  <c r="I113" i="12" s="1"/>
  <c r="G113" i="12"/>
  <c r="M112" i="12"/>
  <c r="J112" i="12"/>
  <c r="I112" i="12" s="1"/>
  <c r="G112" i="12"/>
  <c r="M111" i="12"/>
  <c r="J111" i="12"/>
  <c r="I111" i="12" s="1"/>
  <c r="G111" i="12"/>
  <c r="M110" i="12"/>
  <c r="H110" i="12"/>
  <c r="G110" i="12" s="1"/>
  <c r="M109" i="12"/>
  <c r="J109" i="12"/>
  <c r="I109" i="12" s="1"/>
  <c r="G109" i="12"/>
  <c r="M108" i="12"/>
  <c r="J108" i="12"/>
  <c r="I108" i="12" s="1"/>
  <c r="G108" i="12"/>
  <c r="K101" i="12"/>
  <c r="M100" i="12"/>
  <c r="M101" i="12" s="1"/>
  <c r="J100" i="12"/>
  <c r="I100" i="12" s="1"/>
  <c r="G100" i="12"/>
  <c r="J99" i="12"/>
  <c r="I99" i="12" s="1"/>
  <c r="G99" i="12"/>
  <c r="J98" i="12"/>
  <c r="I98" i="12" s="1"/>
  <c r="G98" i="12"/>
  <c r="G101" i="12" s="1"/>
  <c r="K96" i="12"/>
  <c r="M95" i="12"/>
  <c r="J95" i="12"/>
  <c r="I95" i="12" s="1"/>
  <c r="G95" i="12"/>
  <c r="M94" i="12"/>
  <c r="J94" i="12"/>
  <c r="I94" i="12" s="1"/>
  <c r="G94" i="12"/>
  <c r="M93" i="12"/>
  <c r="J93" i="12"/>
  <c r="I93" i="12" s="1"/>
  <c r="G93" i="12"/>
  <c r="M92" i="12"/>
  <c r="J92" i="12"/>
  <c r="I92" i="12" s="1"/>
  <c r="G92" i="12"/>
  <c r="M91" i="12"/>
  <c r="M96" i="12" s="1"/>
  <c r="J91" i="12"/>
  <c r="I91" i="12" s="1"/>
  <c r="G91" i="12"/>
  <c r="G96" i="12" s="1"/>
  <c r="K84" i="12"/>
  <c r="M83" i="12"/>
  <c r="J83" i="12"/>
  <c r="I83" i="12" s="1"/>
  <c r="G83" i="12"/>
  <c r="M82" i="12"/>
  <c r="H82" i="12"/>
  <c r="J82" i="12" s="1"/>
  <c r="I82" i="12" s="1"/>
  <c r="M81" i="12"/>
  <c r="J81" i="12"/>
  <c r="I81" i="12" s="1"/>
  <c r="G81" i="12"/>
  <c r="M80" i="12"/>
  <c r="J80" i="12"/>
  <c r="I80" i="12" s="1"/>
  <c r="G80" i="12"/>
  <c r="M79" i="12"/>
  <c r="J79" i="12"/>
  <c r="I79" i="12" s="1"/>
  <c r="G79" i="12"/>
  <c r="M78" i="12"/>
  <c r="J78" i="12"/>
  <c r="I78" i="12" s="1"/>
  <c r="G78" i="12"/>
  <c r="M77" i="12"/>
  <c r="J77" i="12"/>
  <c r="I77" i="12" s="1"/>
  <c r="G77" i="12"/>
  <c r="M76" i="12"/>
  <c r="J76" i="12"/>
  <c r="I76" i="12" s="1"/>
  <c r="G76" i="12"/>
  <c r="M75" i="12"/>
  <c r="J75" i="12"/>
  <c r="I75" i="12" s="1"/>
  <c r="G75" i="12"/>
  <c r="M74" i="12"/>
  <c r="J74" i="12"/>
  <c r="I74" i="12" s="1"/>
  <c r="G74" i="12"/>
  <c r="M73" i="12"/>
  <c r="H73" i="12"/>
  <c r="G73" i="12" s="1"/>
  <c r="K71" i="12"/>
  <c r="M70" i="12"/>
  <c r="J70" i="12"/>
  <c r="I70" i="12" s="1"/>
  <c r="G70" i="12"/>
  <c r="M69" i="12"/>
  <c r="H69" i="12"/>
  <c r="J69" i="12" s="1"/>
  <c r="I69" i="12" s="1"/>
  <c r="J68" i="12"/>
  <c r="I68" i="12" s="1"/>
  <c r="G68" i="12"/>
  <c r="J67" i="12"/>
  <c r="I67" i="12" s="1"/>
  <c r="G67" i="12"/>
  <c r="K60" i="12"/>
  <c r="M59" i="12"/>
  <c r="H59" i="12"/>
  <c r="G59" i="12" s="1"/>
  <c r="M58" i="12"/>
  <c r="H58" i="12"/>
  <c r="J58" i="12" s="1"/>
  <c r="I58" i="12" s="1"/>
  <c r="M57" i="12"/>
  <c r="H57" i="12"/>
  <c r="G57" i="12" s="1"/>
  <c r="M56" i="12"/>
  <c r="J56" i="12"/>
  <c r="I56" i="12" s="1"/>
  <c r="G56" i="12"/>
  <c r="M55" i="12"/>
  <c r="H55" i="12"/>
  <c r="J55" i="12" s="1"/>
  <c r="I55" i="12" s="1"/>
  <c r="M54" i="12"/>
  <c r="J54" i="12"/>
  <c r="I54" i="12" s="1"/>
  <c r="G54" i="12"/>
  <c r="M53" i="12"/>
  <c r="J53" i="12"/>
  <c r="I53" i="12" s="1"/>
  <c r="G53" i="12"/>
  <c r="M52" i="12"/>
  <c r="J52" i="12"/>
  <c r="I52" i="12" s="1"/>
  <c r="G52" i="12"/>
  <c r="M51" i="12"/>
  <c r="H51" i="12"/>
  <c r="G51" i="12" s="1"/>
  <c r="M50" i="12"/>
  <c r="H50" i="12"/>
  <c r="J50" i="12" s="1"/>
  <c r="I50" i="12" s="1"/>
  <c r="M49" i="12"/>
  <c r="H49" i="12"/>
  <c r="G49" i="12"/>
  <c r="M48" i="12"/>
  <c r="J48" i="12"/>
  <c r="I48" i="12" s="1"/>
  <c r="G48" i="12"/>
  <c r="M47" i="12"/>
  <c r="J47" i="12"/>
  <c r="I47" i="12" s="1"/>
  <c r="G47" i="12"/>
  <c r="M46" i="12"/>
  <c r="H46" i="12"/>
  <c r="J46" i="12" s="1"/>
  <c r="I46" i="12" s="1"/>
  <c r="M45" i="12"/>
  <c r="H45" i="12"/>
  <c r="G45" i="12" s="1"/>
  <c r="K40" i="12"/>
  <c r="M39" i="12"/>
  <c r="J39" i="12"/>
  <c r="I39" i="12" s="1"/>
  <c r="G39" i="12"/>
  <c r="M38" i="12"/>
  <c r="J38" i="12"/>
  <c r="I38" i="12" s="1"/>
  <c r="G38" i="12"/>
  <c r="M37" i="12"/>
  <c r="H37" i="12"/>
  <c r="J37" i="12" s="1"/>
  <c r="I37" i="12" s="1"/>
  <c r="M36" i="12"/>
  <c r="H36" i="12"/>
  <c r="G36" i="12" s="1"/>
  <c r="M35" i="12"/>
  <c r="J35" i="12"/>
  <c r="I35" i="12" s="1"/>
  <c r="G35" i="12"/>
  <c r="M34" i="12"/>
  <c r="H34" i="12"/>
  <c r="J34" i="12" s="1"/>
  <c r="I34" i="12" s="1"/>
  <c r="M33" i="12"/>
  <c r="H33" i="12"/>
  <c r="J33" i="12" s="1"/>
  <c r="I33" i="12" s="1"/>
  <c r="G33" i="12"/>
  <c r="M32" i="12"/>
  <c r="H32" i="12"/>
  <c r="J32" i="12" s="1"/>
  <c r="I32" i="12" s="1"/>
  <c r="M31" i="12"/>
  <c r="J31" i="12"/>
  <c r="I31" i="12" s="1"/>
  <c r="G31" i="12"/>
  <c r="M30" i="12"/>
  <c r="J30" i="12"/>
  <c r="I30" i="12" s="1"/>
  <c r="G30" i="12"/>
  <c r="M29" i="12"/>
  <c r="H29" i="12"/>
  <c r="J29" i="12" s="1"/>
  <c r="I29" i="12" s="1"/>
  <c r="H28" i="12"/>
  <c r="J28" i="12" s="1"/>
  <c r="I28" i="12" s="1"/>
  <c r="M27" i="12"/>
  <c r="H27" i="12"/>
  <c r="J27" i="12" s="1"/>
  <c r="I27" i="12" s="1"/>
  <c r="M26" i="12"/>
  <c r="H26" i="12"/>
  <c r="J26" i="12"/>
  <c r="I26" i="12" s="1"/>
  <c r="G26" i="12"/>
  <c r="M25" i="12"/>
  <c r="J25" i="12"/>
  <c r="I25" i="12" s="1"/>
  <c r="G25" i="12"/>
  <c r="M24" i="12"/>
  <c r="M40" i="12"/>
  <c r="J24" i="12"/>
  <c r="I24" i="12"/>
  <c r="G24" i="12"/>
  <c r="K17" i="12"/>
  <c r="M16" i="12"/>
  <c r="I16" i="12"/>
  <c r="M15" i="12"/>
  <c r="I15" i="12"/>
  <c r="M14" i="12"/>
  <c r="I14" i="12"/>
  <c r="M13" i="12"/>
  <c r="I13" i="12"/>
  <c r="M12" i="12"/>
  <c r="I12" i="12"/>
  <c r="M11" i="12"/>
  <c r="I11" i="12"/>
  <c r="M10" i="12"/>
  <c r="I10" i="12"/>
  <c r="M9" i="12"/>
  <c r="I9" i="12"/>
  <c r="M8" i="12"/>
  <c r="I8" i="12"/>
  <c r="M6" i="12"/>
  <c r="M17" i="12" s="1"/>
  <c r="R20" i="2" s="1"/>
  <c r="N20" i="2" s="1"/>
  <c r="I6" i="12"/>
  <c r="K176" i="10"/>
  <c r="M175" i="10"/>
  <c r="J175" i="10"/>
  <c r="I175" i="10" s="1"/>
  <c r="G175" i="10"/>
  <c r="M174" i="10"/>
  <c r="J174" i="10"/>
  <c r="I174" i="10" s="1"/>
  <c r="G174" i="10"/>
  <c r="M173" i="10"/>
  <c r="J173" i="10"/>
  <c r="I173" i="10" s="1"/>
  <c r="G173" i="10"/>
  <c r="B173" i="10"/>
  <c r="M172" i="10"/>
  <c r="H172" i="10"/>
  <c r="G172" i="10" s="1"/>
  <c r="G176" i="10" s="1"/>
  <c r="B172" i="10"/>
  <c r="M171" i="10"/>
  <c r="M176" i="10" s="1"/>
  <c r="H171" i="10"/>
  <c r="G171" i="10" s="1"/>
  <c r="B171" i="10"/>
  <c r="K169" i="10"/>
  <c r="M168" i="10"/>
  <c r="M169" i="10" s="1"/>
  <c r="J168" i="10"/>
  <c r="I168" i="10" s="1"/>
  <c r="G168" i="10"/>
  <c r="H167" i="10"/>
  <c r="J167" i="10" s="1"/>
  <c r="I167" i="10" s="1"/>
  <c r="G167" i="10"/>
  <c r="J166" i="10"/>
  <c r="I166" i="10" s="1"/>
  <c r="G166" i="10"/>
  <c r="G169" i="10" s="1"/>
  <c r="J165" i="10"/>
  <c r="I165" i="10"/>
  <c r="M164" i="10"/>
  <c r="K164" i="10"/>
  <c r="J163" i="10"/>
  <c r="I163" i="10" s="1"/>
  <c r="J162" i="10"/>
  <c r="I162" i="10" s="1"/>
  <c r="I164" i="10" s="1"/>
  <c r="G162" i="10"/>
  <c r="G164" i="10"/>
  <c r="K156" i="10"/>
  <c r="M155" i="10"/>
  <c r="H155" i="10"/>
  <c r="G155" i="10"/>
  <c r="M154" i="10"/>
  <c r="H154" i="10"/>
  <c r="J154" i="10" s="1"/>
  <c r="I154" i="10" s="1"/>
  <c r="M153" i="10"/>
  <c r="H153" i="10"/>
  <c r="G153" i="10" s="1"/>
  <c r="M152" i="10"/>
  <c r="J152" i="10"/>
  <c r="I152" i="10" s="1"/>
  <c r="G152" i="10"/>
  <c r="M151" i="10"/>
  <c r="J151" i="10"/>
  <c r="I151" i="10" s="1"/>
  <c r="G151" i="10"/>
  <c r="M150" i="10"/>
  <c r="J150" i="10"/>
  <c r="I150" i="10" s="1"/>
  <c r="G150" i="10"/>
  <c r="M149" i="10"/>
  <c r="J149" i="10"/>
  <c r="I149" i="10" s="1"/>
  <c r="G149" i="10"/>
  <c r="M148" i="10"/>
  <c r="J148" i="10"/>
  <c r="I148" i="10" s="1"/>
  <c r="G148" i="10"/>
  <c r="M147" i="10"/>
  <c r="J147" i="10"/>
  <c r="I147" i="10" s="1"/>
  <c r="G147" i="10"/>
  <c r="M146" i="10"/>
  <c r="J146" i="10"/>
  <c r="I146" i="10" s="1"/>
  <c r="G146" i="10"/>
  <c r="M145" i="10"/>
  <c r="M156" i="10" s="1"/>
  <c r="J145" i="10"/>
  <c r="I145" i="10" s="1"/>
  <c r="G145" i="10"/>
  <c r="K143" i="10"/>
  <c r="M142" i="10"/>
  <c r="J142" i="10"/>
  <c r="I142" i="10" s="1"/>
  <c r="G142" i="10"/>
  <c r="G143" i="10" s="1"/>
  <c r="M141" i="10"/>
  <c r="J141" i="10"/>
  <c r="I141" i="10" s="1"/>
  <c r="M140" i="10"/>
  <c r="M143" i="10" s="1"/>
  <c r="J140" i="10"/>
  <c r="I140" i="10" s="1"/>
  <c r="I143" i="10" s="1"/>
  <c r="K133" i="10"/>
  <c r="M132" i="10"/>
  <c r="H132" i="10"/>
  <c r="J132" i="10" s="1"/>
  <c r="I132" i="10" s="1"/>
  <c r="M131" i="10"/>
  <c r="H131" i="10"/>
  <c r="G131" i="10" s="1"/>
  <c r="M130" i="10"/>
  <c r="H130" i="10"/>
  <c r="J130" i="10" s="1"/>
  <c r="I130" i="10" s="1"/>
  <c r="G130" i="10"/>
  <c r="M129" i="10"/>
  <c r="J129" i="10"/>
  <c r="I129" i="10" s="1"/>
  <c r="G129" i="10"/>
  <c r="M128" i="10"/>
  <c r="J128" i="10"/>
  <c r="I128" i="10" s="1"/>
  <c r="G128" i="10"/>
  <c r="M127" i="10"/>
  <c r="H127" i="10"/>
  <c r="J127" i="10" s="1"/>
  <c r="I127" i="10" s="1"/>
  <c r="M126" i="10"/>
  <c r="J126" i="10"/>
  <c r="I126" i="10" s="1"/>
  <c r="G126" i="10"/>
  <c r="M125" i="10"/>
  <c r="J125" i="10"/>
  <c r="I125" i="10" s="1"/>
  <c r="G125" i="10"/>
  <c r="M124" i="10"/>
  <c r="J124" i="10"/>
  <c r="I124" i="10" s="1"/>
  <c r="G124" i="10"/>
  <c r="M123" i="10"/>
  <c r="H123" i="10"/>
  <c r="J123" i="10"/>
  <c r="I123" i="10" s="1"/>
  <c r="C123" i="10"/>
  <c r="M122" i="10"/>
  <c r="H122" i="10"/>
  <c r="J122" i="10" s="1"/>
  <c r="I122" i="10" s="1"/>
  <c r="M121" i="10"/>
  <c r="J121" i="10"/>
  <c r="I121" i="10" s="1"/>
  <c r="G121" i="10"/>
  <c r="M120" i="10"/>
  <c r="J120" i="10"/>
  <c r="I120" i="10" s="1"/>
  <c r="G120" i="10"/>
  <c r="M119" i="10"/>
  <c r="J119" i="10"/>
  <c r="I119" i="10" s="1"/>
  <c r="G119" i="10"/>
  <c r="M118" i="10"/>
  <c r="H118" i="10"/>
  <c r="G118" i="10" s="1"/>
  <c r="M117" i="10"/>
  <c r="J117" i="10"/>
  <c r="I117" i="10" s="1"/>
  <c r="G117" i="10"/>
  <c r="M116" i="10"/>
  <c r="M133" i="10" s="1"/>
  <c r="J116" i="10"/>
  <c r="I116" i="10" s="1"/>
  <c r="G116" i="10"/>
  <c r="K109" i="10"/>
  <c r="M108" i="10"/>
  <c r="M109" i="10" s="1"/>
  <c r="J108" i="10"/>
  <c r="I108" i="10" s="1"/>
  <c r="G108" i="10"/>
  <c r="J107" i="10"/>
  <c r="I107" i="10" s="1"/>
  <c r="G107" i="10"/>
  <c r="J106" i="10"/>
  <c r="I106" i="10" s="1"/>
  <c r="G106" i="10"/>
  <c r="G109" i="10" s="1"/>
  <c r="K104" i="10"/>
  <c r="M103" i="10"/>
  <c r="J103" i="10"/>
  <c r="I103" i="10" s="1"/>
  <c r="G103" i="10"/>
  <c r="M102" i="10"/>
  <c r="J102" i="10"/>
  <c r="I102" i="10" s="1"/>
  <c r="G102" i="10"/>
  <c r="M101" i="10"/>
  <c r="J101" i="10"/>
  <c r="I101" i="10" s="1"/>
  <c r="G101" i="10"/>
  <c r="M100" i="10"/>
  <c r="J100" i="10"/>
  <c r="I100" i="10" s="1"/>
  <c r="G100" i="10"/>
  <c r="M99" i="10"/>
  <c r="M104" i="10" s="1"/>
  <c r="J99" i="10"/>
  <c r="I99" i="10" s="1"/>
  <c r="G99" i="10"/>
  <c r="G104" i="10" s="1"/>
  <c r="K92" i="10"/>
  <c r="M91" i="10"/>
  <c r="J91" i="10"/>
  <c r="I91" i="10" s="1"/>
  <c r="G91" i="10"/>
  <c r="M90" i="10"/>
  <c r="H90" i="10"/>
  <c r="J90" i="10" s="1"/>
  <c r="I90" i="10" s="1"/>
  <c r="M89" i="10"/>
  <c r="J89" i="10"/>
  <c r="I89" i="10" s="1"/>
  <c r="G89" i="10"/>
  <c r="M88" i="10"/>
  <c r="J88" i="10"/>
  <c r="I88" i="10" s="1"/>
  <c r="G88" i="10"/>
  <c r="M87" i="10"/>
  <c r="J87" i="10"/>
  <c r="I87" i="10" s="1"/>
  <c r="G87" i="10"/>
  <c r="M86" i="10"/>
  <c r="J86" i="10"/>
  <c r="I86" i="10" s="1"/>
  <c r="G86" i="10"/>
  <c r="M85" i="10"/>
  <c r="J85" i="10"/>
  <c r="I85" i="10" s="1"/>
  <c r="G85" i="10"/>
  <c r="M84" i="10"/>
  <c r="J84" i="10"/>
  <c r="I84" i="10" s="1"/>
  <c r="G84" i="10"/>
  <c r="M83" i="10"/>
  <c r="J83" i="10"/>
  <c r="I83" i="10" s="1"/>
  <c r="G83" i="10"/>
  <c r="M82" i="10"/>
  <c r="J82" i="10"/>
  <c r="I82" i="10" s="1"/>
  <c r="G82" i="10"/>
  <c r="M81" i="10"/>
  <c r="M92" i="10"/>
  <c r="H81" i="10"/>
  <c r="J81" i="10"/>
  <c r="I81" i="10" s="1"/>
  <c r="G81" i="10"/>
  <c r="K79" i="10"/>
  <c r="M78" i="10"/>
  <c r="J78" i="10"/>
  <c r="I78" i="10" s="1"/>
  <c r="G78" i="10"/>
  <c r="M77" i="10"/>
  <c r="M79" i="10" s="1"/>
  <c r="H77" i="10"/>
  <c r="J77" i="10" s="1"/>
  <c r="I77" i="10" s="1"/>
  <c r="J76" i="10"/>
  <c r="I76" i="10" s="1"/>
  <c r="I79" i="10" s="1"/>
  <c r="G76" i="10"/>
  <c r="J75" i="10"/>
  <c r="I75" i="10" s="1"/>
  <c r="G75" i="10"/>
  <c r="K68" i="10"/>
  <c r="M67" i="10"/>
  <c r="H67" i="10"/>
  <c r="G67" i="10" s="1"/>
  <c r="M66" i="10"/>
  <c r="H66" i="10"/>
  <c r="J66" i="10" s="1"/>
  <c r="I66" i="10" s="1"/>
  <c r="M65" i="10"/>
  <c r="H65" i="10"/>
  <c r="G65" i="10" s="1"/>
  <c r="M64" i="10"/>
  <c r="J64" i="10"/>
  <c r="I64" i="10" s="1"/>
  <c r="G64" i="10"/>
  <c r="M63" i="10"/>
  <c r="H63" i="10"/>
  <c r="J63" i="10" s="1"/>
  <c r="I63" i="10" s="1"/>
  <c r="M62" i="10"/>
  <c r="J62" i="10"/>
  <c r="I62" i="10" s="1"/>
  <c r="G62" i="10"/>
  <c r="M61" i="10"/>
  <c r="J61" i="10"/>
  <c r="I61" i="10" s="1"/>
  <c r="G61" i="10"/>
  <c r="M60" i="10"/>
  <c r="J60" i="10"/>
  <c r="I60" i="10" s="1"/>
  <c r="G60" i="10"/>
  <c r="M59" i="10"/>
  <c r="H59" i="10"/>
  <c r="G59" i="10" s="1"/>
  <c r="M58" i="10"/>
  <c r="H58" i="10"/>
  <c r="J58" i="10" s="1"/>
  <c r="I58" i="10" s="1"/>
  <c r="M57" i="10"/>
  <c r="H57" i="10"/>
  <c r="G57" i="10"/>
  <c r="M56" i="10"/>
  <c r="J56" i="10"/>
  <c r="I56" i="10" s="1"/>
  <c r="G56" i="10"/>
  <c r="M55" i="10"/>
  <c r="J55" i="10"/>
  <c r="I55" i="10" s="1"/>
  <c r="G55" i="10"/>
  <c r="M54" i="10"/>
  <c r="H54" i="10"/>
  <c r="J54" i="10" s="1"/>
  <c r="I54" i="10" s="1"/>
  <c r="M53" i="10"/>
  <c r="H53" i="10"/>
  <c r="G53" i="10" s="1"/>
  <c r="K48" i="10"/>
  <c r="M47" i="10"/>
  <c r="J47" i="10"/>
  <c r="I47" i="10"/>
  <c r="G47" i="10"/>
  <c r="M46" i="10"/>
  <c r="J46" i="10"/>
  <c r="I46" i="10"/>
  <c r="G46" i="10"/>
  <c r="M45" i="10"/>
  <c r="H45" i="10"/>
  <c r="J45" i="10"/>
  <c r="I45" i="10" s="1"/>
  <c r="M44" i="10"/>
  <c r="H44" i="10"/>
  <c r="J44" i="10" s="1"/>
  <c r="I44" i="10" s="1"/>
  <c r="M43" i="10"/>
  <c r="J43" i="10"/>
  <c r="I43" i="10" s="1"/>
  <c r="G43" i="10"/>
  <c r="M42" i="10"/>
  <c r="H42" i="10"/>
  <c r="J42" i="10" s="1"/>
  <c r="I42" i="10" s="1"/>
  <c r="M41" i="10"/>
  <c r="H41" i="10"/>
  <c r="J41" i="10" s="1"/>
  <c r="I41" i="10" s="1"/>
  <c r="M40" i="10"/>
  <c r="H40" i="10"/>
  <c r="J40" i="10" s="1"/>
  <c r="I40" i="10" s="1"/>
  <c r="M39" i="10"/>
  <c r="J39" i="10"/>
  <c r="I39" i="10" s="1"/>
  <c r="G39" i="10"/>
  <c r="M38" i="10"/>
  <c r="J38" i="10"/>
  <c r="I38" i="10" s="1"/>
  <c r="G38" i="10"/>
  <c r="M37" i="10"/>
  <c r="H37" i="10"/>
  <c r="G37" i="10" s="1"/>
  <c r="H36" i="10"/>
  <c r="G36" i="10" s="1"/>
  <c r="M35" i="10"/>
  <c r="H35" i="10"/>
  <c r="J35" i="10" s="1"/>
  <c r="I35" i="10" s="1"/>
  <c r="M34" i="10"/>
  <c r="H34" i="10"/>
  <c r="J34" i="10" s="1"/>
  <c r="I34" i="10" s="1"/>
  <c r="M33" i="10"/>
  <c r="J33" i="10"/>
  <c r="I33" i="10" s="1"/>
  <c r="G33" i="10"/>
  <c r="M32" i="10"/>
  <c r="J32" i="10"/>
  <c r="I32" i="10" s="1"/>
  <c r="G32" i="10"/>
  <c r="K25" i="10"/>
  <c r="I8" i="9"/>
  <c r="M7" i="9"/>
  <c r="M8" i="9"/>
  <c r="K162" i="9"/>
  <c r="M161" i="9"/>
  <c r="J161" i="9"/>
  <c r="I161" i="9" s="1"/>
  <c r="G161" i="9"/>
  <c r="M160" i="9"/>
  <c r="J160" i="9"/>
  <c r="I160" i="9" s="1"/>
  <c r="G160" i="9"/>
  <c r="M159" i="9"/>
  <c r="J159" i="9"/>
  <c r="I159" i="9" s="1"/>
  <c r="G159" i="9"/>
  <c r="B159" i="9"/>
  <c r="M158" i="9"/>
  <c r="H158" i="9"/>
  <c r="G158" i="9" s="1"/>
  <c r="B158" i="9"/>
  <c r="M157" i="9"/>
  <c r="H157" i="9"/>
  <c r="G157" i="9" s="1"/>
  <c r="G162" i="9" s="1"/>
  <c r="B157" i="9"/>
  <c r="K155" i="9"/>
  <c r="M154" i="9"/>
  <c r="M155" i="9" s="1"/>
  <c r="J154" i="9"/>
  <c r="I154" i="9" s="1"/>
  <c r="G154" i="9"/>
  <c r="H153" i="9"/>
  <c r="J153" i="9" s="1"/>
  <c r="I153" i="9" s="1"/>
  <c r="J152" i="9"/>
  <c r="I152" i="9" s="1"/>
  <c r="G152" i="9"/>
  <c r="J151" i="9"/>
  <c r="I151" i="9" s="1"/>
  <c r="M150" i="9"/>
  <c r="K150" i="9"/>
  <c r="J149" i="9"/>
  <c r="I149" i="9" s="1"/>
  <c r="J148" i="9"/>
  <c r="I148" i="9" s="1"/>
  <c r="G148" i="9"/>
  <c r="G150" i="9" s="1"/>
  <c r="K142" i="9"/>
  <c r="M141" i="9"/>
  <c r="H141" i="9"/>
  <c r="G141" i="9" s="1"/>
  <c r="M140" i="9"/>
  <c r="H140" i="9"/>
  <c r="J140" i="9" s="1"/>
  <c r="I140" i="9" s="1"/>
  <c r="M139" i="9"/>
  <c r="H139" i="9"/>
  <c r="G139" i="9" s="1"/>
  <c r="M138" i="9"/>
  <c r="J138" i="9"/>
  <c r="I138" i="9" s="1"/>
  <c r="G138" i="9"/>
  <c r="M137" i="9"/>
  <c r="J137" i="9"/>
  <c r="I137" i="9" s="1"/>
  <c r="G137" i="9"/>
  <c r="M136" i="9"/>
  <c r="J136" i="9"/>
  <c r="I136" i="9" s="1"/>
  <c r="G136" i="9"/>
  <c r="M135" i="9"/>
  <c r="J135" i="9"/>
  <c r="I135" i="9" s="1"/>
  <c r="G135" i="9"/>
  <c r="M134" i="9"/>
  <c r="J134" i="9"/>
  <c r="I134" i="9" s="1"/>
  <c r="G134" i="9"/>
  <c r="M133" i="9"/>
  <c r="J133" i="9"/>
  <c r="I133" i="9" s="1"/>
  <c r="G133" i="9"/>
  <c r="M132" i="9"/>
  <c r="J132" i="9"/>
  <c r="I132" i="9" s="1"/>
  <c r="G132" i="9"/>
  <c r="M131" i="9"/>
  <c r="M142" i="9" s="1"/>
  <c r="J131" i="9"/>
  <c r="I131" i="9" s="1"/>
  <c r="G131" i="9"/>
  <c r="K129" i="9"/>
  <c r="M128" i="9"/>
  <c r="J128" i="9"/>
  <c r="I128" i="9" s="1"/>
  <c r="G128" i="9"/>
  <c r="G129" i="9" s="1"/>
  <c r="M127" i="9"/>
  <c r="J127" i="9"/>
  <c r="I127" i="9" s="1"/>
  <c r="M126" i="9"/>
  <c r="M129" i="9" s="1"/>
  <c r="J126" i="9"/>
  <c r="I126" i="9" s="1"/>
  <c r="K119" i="9"/>
  <c r="M118" i="9"/>
  <c r="H118" i="9"/>
  <c r="J118" i="9" s="1"/>
  <c r="I118" i="9" s="1"/>
  <c r="M117" i="9"/>
  <c r="H117" i="9"/>
  <c r="G117" i="9" s="1"/>
  <c r="M116" i="9"/>
  <c r="H116" i="9"/>
  <c r="J116" i="9" s="1"/>
  <c r="I116" i="9" s="1"/>
  <c r="M115" i="9"/>
  <c r="J115" i="9"/>
  <c r="I115" i="9" s="1"/>
  <c r="G115" i="9"/>
  <c r="M114" i="9"/>
  <c r="J114" i="9"/>
  <c r="I114" i="9" s="1"/>
  <c r="G114" i="9"/>
  <c r="M113" i="9"/>
  <c r="H113" i="9"/>
  <c r="G113" i="9" s="1"/>
  <c r="M112" i="9"/>
  <c r="J112" i="9"/>
  <c r="I112" i="9" s="1"/>
  <c r="G112" i="9"/>
  <c r="M111" i="9"/>
  <c r="J111" i="9"/>
  <c r="I111" i="9" s="1"/>
  <c r="G111" i="9"/>
  <c r="M110" i="9"/>
  <c r="J110" i="9"/>
  <c r="I110" i="9" s="1"/>
  <c r="G110" i="9"/>
  <c r="M109" i="9"/>
  <c r="H109" i="9"/>
  <c r="J109" i="9" s="1"/>
  <c r="I109" i="9" s="1"/>
  <c r="C109" i="9"/>
  <c r="M108" i="9"/>
  <c r="H108" i="9"/>
  <c r="J108" i="9" s="1"/>
  <c r="I108" i="9" s="1"/>
  <c r="M107" i="9"/>
  <c r="J107" i="9"/>
  <c r="I107" i="9" s="1"/>
  <c r="G107" i="9"/>
  <c r="M106" i="9"/>
  <c r="J106" i="9"/>
  <c r="I106" i="9" s="1"/>
  <c r="G106" i="9"/>
  <c r="M105" i="9"/>
  <c r="J105" i="9"/>
  <c r="I105" i="9" s="1"/>
  <c r="G105" i="9"/>
  <c r="M104" i="9"/>
  <c r="H104" i="9"/>
  <c r="G104" i="9" s="1"/>
  <c r="M103" i="9"/>
  <c r="J103" i="9"/>
  <c r="I103" i="9" s="1"/>
  <c r="G103" i="9"/>
  <c r="M102" i="9"/>
  <c r="J102" i="9"/>
  <c r="I102" i="9" s="1"/>
  <c r="G102" i="9"/>
  <c r="K95" i="9"/>
  <c r="M94" i="9"/>
  <c r="M95" i="9" s="1"/>
  <c r="J94" i="9"/>
  <c r="I94" i="9" s="1"/>
  <c r="G94" i="9"/>
  <c r="J93" i="9"/>
  <c r="I93" i="9" s="1"/>
  <c r="G93" i="9"/>
  <c r="J92" i="9"/>
  <c r="I92" i="9" s="1"/>
  <c r="G92" i="9"/>
  <c r="G95" i="9" s="1"/>
  <c r="K90" i="9"/>
  <c r="M89" i="9"/>
  <c r="J89" i="9"/>
  <c r="I89" i="9" s="1"/>
  <c r="G89" i="9"/>
  <c r="M88" i="9"/>
  <c r="J88" i="9"/>
  <c r="I88" i="9" s="1"/>
  <c r="G88" i="9"/>
  <c r="M87" i="9"/>
  <c r="J87" i="9"/>
  <c r="I87" i="9" s="1"/>
  <c r="G87" i="9"/>
  <c r="M86" i="9"/>
  <c r="J86" i="9"/>
  <c r="I86" i="9" s="1"/>
  <c r="G86" i="9"/>
  <c r="M85" i="9"/>
  <c r="M90" i="9" s="1"/>
  <c r="J85" i="9"/>
  <c r="I85" i="9" s="1"/>
  <c r="G85" i="9"/>
  <c r="G90" i="9" s="1"/>
  <c r="K78" i="9"/>
  <c r="M77" i="9"/>
  <c r="J77" i="9"/>
  <c r="I77" i="9" s="1"/>
  <c r="G77" i="9"/>
  <c r="M76" i="9"/>
  <c r="H76" i="9"/>
  <c r="J76" i="9" s="1"/>
  <c r="I76" i="9" s="1"/>
  <c r="G76" i="9"/>
  <c r="M75" i="9"/>
  <c r="J75" i="9"/>
  <c r="I75" i="9" s="1"/>
  <c r="G75" i="9"/>
  <c r="M74" i="9"/>
  <c r="J74" i="9"/>
  <c r="I74" i="9" s="1"/>
  <c r="G74" i="9"/>
  <c r="M73" i="9"/>
  <c r="J73" i="9"/>
  <c r="I73" i="9" s="1"/>
  <c r="G73" i="9"/>
  <c r="M72" i="9"/>
  <c r="J72" i="9"/>
  <c r="I72" i="9" s="1"/>
  <c r="G72" i="9"/>
  <c r="M71" i="9"/>
  <c r="J71" i="9"/>
  <c r="I71" i="9" s="1"/>
  <c r="G71" i="9"/>
  <c r="M70" i="9"/>
  <c r="J70" i="9"/>
  <c r="I70" i="9" s="1"/>
  <c r="G70" i="9"/>
  <c r="M69" i="9"/>
  <c r="J69" i="9"/>
  <c r="I69" i="9" s="1"/>
  <c r="G69" i="9"/>
  <c r="M68" i="9"/>
  <c r="J68" i="9"/>
  <c r="I68" i="9" s="1"/>
  <c r="G68" i="9"/>
  <c r="M67" i="9"/>
  <c r="H67" i="9"/>
  <c r="G67" i="9" s="1"/>
  <c r="G78" i="9" s="1"/>
  <c r="K65" i="9"/>
  <c r="M64" i="9"/>
  <c r="J64" i="9"/>
  <c r="I64" i="9" s="1"/>
  <c r="G64" i="9"/>
  <c r="M63" i="9"/>
  <c r="H63" i="9"/>
  <c r="J63" i="9" s="1"/>
  <c r="I63" i="9" s="1"/>
  <c r="J62" i="9"/>
  <c r="I62" i="9" s="1"/>
  <c r="G62" i="9"/>
  <c r="J61" i="9"/>
  <c r="I61" i="9" s="1"/>
  <c r="G61" i="9"/>
  <c r="K54" i="9"/>
  <c r="M53" i="9"/>
  <c r="H53" i="9"/>
  <c r="G53" i="9" s="1"/>
  <c r="M52" i="9"/>
  <c r="H52" i="9"/>
  <c r="J52" i="9" s="1"/>
  <c r="I52" i="9" s="1"/>
  <c r="G52" i="9"/>
  <c r="M51" i="9"/>
  <c r="H51" i="9"/>
  <c r="G51" i="9" s="1"/>
  <c r="M50" i="9"/>
  <c r="J50" i="9"/>
  <c r="I50" i="9" s="1"/>
  <c r="G50" i="9"/>
  <c r="M49" i="9"/>
  <c r="H49" i="9"/>
  <c r="J49" i="9" s="1"/>
  <c r="I49" i="9" s="1"/>
  <c r="G49" i="9"/>
  <c r="M48" i="9"/>
  <c r="J48" i="9"/>
  <c r="I48" i="9" s="1"/>
  <c r="G48" i="9"/>
  <c r="M47" i="9"/>
  <c r="J47" i="9"/>
  <c r="I47" i="9" s="1"/>
  <c r="G47" i="9"/>
  <c r="M46" i="9"/>
  <c r="J46" i="9"/>
  <c r="I46" i="9" s="1"/>
  <c r="G46" i="9"/>
  <c r="M45" i="9"/>
  <c r="H45" i="9"/>
  <c r="G45" i="9" s="1"/>
  <c r="M44" i="9"/>
  <c r="H44" i="9"/>
  <c r="J44" i="9" s="1"/>
  <c r="I44" i="9" s="1"/>
  <c r="G44" i="9"/>
  <c r="M43" i="9"/>
  <c r="H43" i="9"/>
  <c r="G43" i="9" s="1"/>
  <c r="M42" i="9"/>
  <c r="J42" i="9"/>
  <c r="I42" i="9" s="1"/>
  <c r="G42" i="9"/>
  <c r="M41" i="9"/>
  <c r="J41" i="9"/>
  <c r="I41" i="9"/>
  <c r="G41" i="9"/>
  <c r="M40" i="9"/>
  <c r="H40" i="9"/>
  <c r="J40" i="9"/>
  <c r="I40" i="9" s="1"/>
  <c r="G40" i="9"/>
  <c r="M39" i="9"/>
  <c r="M54" i="9" s="1"/>
  <c r="H39" i="9"/>
  <c r="G39" i="9" s="1"/>
  <c r="K34" i="9"/>
  <c r="M33" i="9"/>
  <c r="J33" i="9"/>
  <c r="I33" i="9" s="1"/>
  <c r="G33" i="9"/>
  <c r="M32" i="9"/>
  <c r="J32" i="9"/>
  <c r="I32" i="9" s="1"/>
  <c r="G32" i="9"/>
  <c r="M31" i="9"/>
  <c r="H31" i="9"/>
  <c r="J31" i="9" s="1"/>
  <c r="I31" i="9" s="1"/>
  <c r="M30" i="9"/>
  <c r="H30" i="9"/>
  <c r="G30" i="9" s="1"/>
  <c r="M29" i="9"/>
  <c r="J29" i="9"/>
  <c r="I29" i="9" s="1"/>
  <c r="G29" i="9"/>
  <c r="M28" i="9"/>
  <c r="H28" i="9"/>
  <c r="J28" i="9" s="1"/>
  <c r="I28" i="9" s="1"/>
  <c r="M27" i="9"/>
  <c r="H27" i="9"/>
  <c r="G27" i="9" s="1"/>
  <c r="M26" i="9"/>
  <c r="H26" i="9"/>
  <c r="J26" i="9" s="1"/>
  <c r="I26" i="9" s="1"/>
  <c r="M25" i="9"/>
  <c r="J25" i="9"/>
  <c r="I25" i="9"/>
  <c r="G25" i="9"/>
  <c r="M24" i="9"/>
  <c r="J24" i="9"/>
  <c r="I24" i="9"/>
  <c r="G24" i="9"/>
  <c r="M23" i="9"/>
  <c r="H23" i="9"/>
  <c r="G23" i="9"/>
  <c r="H22" i="9"/>
  <c r="G22" i="9"/>
  <c r="M21" i="9"/>
  <c r="H21" i="9"/>
  <c r="J21" i="9" s="1"/>
  <c r="I21" i="9" s="1"/>
  <c r="M20" i="9"/>
  <c r="H20" i="9"/>
  <c r="G20" i="9" s="1"/>
  <c r="M19" i="9"/>
  <c r="J19" i="9"/>
  <c r="I19" i="9" s="1"/>
  <c r="G19" i="9"/>
  <c r="M18" i="9"/>
  <c r="M34" i="9" s="1"/>
  <c r="J18" i="9"/>
  <c r="I18" i="9" s="1"/>
  <c r="G18" i="9"/>
  <c r="K11" i="9"/>
  <c r="K163" i="8"/>
  <c r="M162" i="8"/>
  <c r="J162" i="8"/>
  <c r="I162" i="8" s="1"/>
  <c r="G162" i="8"/>
  <c r="M161" i="8"/>
  <c r="J161" i="8"/>
  <c r="I161" i="8" s="1"/>
  <c r="G161" i="8"/>
  <c r="M160" i="8"/>
  <c r="J160" i="8"/>
  <c r="I160" i="8" s="1"/>
  <c r="G160" i="8"/>
  <c r="B160" i="8"/>
  <c r="M159" i="8"/>
  <c r="H159" i="8"/>
  <c r="G159" i="8" s="1"/>
  <c r="B159" i="8"/>
  <c r="M158" i="8"/>
  <c r="M163" i="8" s="1"/>
  <c r="H158" i="8"/>
  <c r="G158" i="8" s="1"/>
  <c r="B158" i="8"/>
  <c r="K156" i="8"/>
  <c r="M155" i="8"/>
  <c r="M156" i="8" s="1"/>
  <c r="J155" i="8"/>
  <c r="I155" i="8" s="1"/>
  <c r="G155" i="8"/>
  <c r="H154" i="8"/>
  <c r="J154" i="8"/>
  <c r="I154" i="8" s="1"/>
  <c r="G154" i="8"/>
  <c r="J153" i="8"/>
  <c r="I153" i="8" s="1"/>
  <c r="G153" i="8"/>
  <c r="G156" i="8" s="1"/>
  <c r="J152" i="8"/>
  <c r="I152" i="8" s="1"/>
  <c r="M151" i="8"/>
  <c r="K151" i="8"/>
  <c r="J150" i="8"/>
  <c r="I150" i="8" s="1"/>
  <c r="J149" i="8"/>
  <c r="I149" i="8" s="1"/>
  <c r="G149" i="8"/>
  <c r="G151" i="8"/>
  <c r="K143" i="8"/>
  <c r="M142" i="8"/>
  <c r="H142" i="8"/>
  <c r="G142" i="8"/>
  <c r="M141" i="8"/>
  <c r="H141" i="8"/>
  <c r="J141" i="8" s="1"/>
  <c r="I141" i="8" s="1"/>
  <c r="M140" i="8"/>
  <c r="H140" i="8"/>
  <c r="G140" i="8" s="1"/>
  <c r="M139" i="8"/>
  <c r="J139" i="8"/>
  <c r="I139" i="8" s="1"/>
  <c r="G139" i="8"/>
  <c r="M138" i="8"/>
  <c r="J138" i="8"/>
  <c r="I138" i="8" s="1"/>
  <c r="G138" i="8"/>
  <c r="M137" i="8"/>
  <c r="J137" i="8"/>
  <c r="I137" i="8" s="1"/>
  <c r="G137" i="8"/>
  <c r="M136" i="8"/>
  <c r="J136" i="8"/>
  <c r="I136" i="8" s="1"/>
  <c r="G136" i="8"/>
  <c r="M135" i="8"/>
  <c r="J135" i="8"/>
  <c r="I135" i="8" s="1"/>
  <c r="G135" i="8"/>
  <c r="M134" i="8"/>
  <c r="J134" i="8"/>
  <c r="I134" i="8" s="1"/>
  <c r="G134" i="8"/>
  <c r="M133" i="8"/>
  <c r="J133" i="8"/>
  <c r="I133" i="8" s="1"/>
  <c r="G133" i="8"/>
  <c r="M132" i="8"/>
  <c r="M143" i="8"/>
  <c r="J132" i="8"/>
  <c r="I132" i="8"/>
  <c r="G132" i="8"/>
  <c r="K130" i="8"/>
  <c r="M129" i="8"/>
  <c r="J129" i="8"/>
  <c r="I129" i="8" s="1"/>
  <c r="G129" i="8"/>
  <c r="G130" i="8" s="1"/>
  <c r="M128" i="8"/>
  <c r="J128" i="8"/>
  <c r="I128" i="8" s="1"/>
  <c r="M127" i="8"/>
  <c r="M130" i="8" s="1"/>
  <c r="J127" i="8"/>
  <c r="I127" i="8"/>
  <c r="K120" i="8"/>
  <c r="M119" i="8"/>
  <c r="H119" i="8"/>
  <c r="J119" i="8" s="1"/>
  <c r="I119" i="8" s="1"/>
  <c r="M118" i="8"/>
  <c r="H118" i="8"/>
  <c r="G118" i="8" s="1"/>
  <c r="M117" i="8"/>
  <c r="H117" i="8"/>
  <c r="J117" i="8" s="1"/>
  <c r="I117" i="8" s="1"/>
  <c r="M116" i="8"/>
  <c r="J116" i="8"/>
  <c r="I116" i="8" s="1"/>
  <c r="G116" i="8"/>
  <c r="M115" i="8"/>
  <c r="J115" i="8"/>
  <c r="I115" i="8" s="1"/>
  <c r="G115" i="8"/>
  <c r="M114" i="8"/>
  <c r="H114" i="8"/>
  <c r="G114" i="8"/>
  <c r="M113" i="8"/>
  <c r="J113" i="8"/>
  <c r="I113" i="8" s="1"/>
  <c r="G113" i="8"/>
  <c r="M112" i="8"/>
  <c r="J112" i="8"/>
  <c r="I112" i="8" s="1"/>
  <c r="G112" i="8"/>
  <c r="M111" i="8"/>
  <c r="J111" i="8"/>
  <c r="I111" i="8" s="1"/>
  <c r="G111" i="8"/>
  <c r="M110" i="8"/>
  <c r="H110" i="8"/>
  <c r="J110" i="8" s="1"/>
  <c r="I110" i="8" s="1"/>
  <c r="C110" i="8"/>
  <c r="M109" i="8"/>
  <c r="H109" i="8"/>
  <c r="J109" i="8" s="1"/>
  <c r="I109" i="8" s="1"/>
  <c r="M108" i="8"/>
  <c r="J108" i="8"/>
  <c r="I108" i="8" s="1"/>
  <c r="G108" i="8"/>
  <c r="M107" i="8"/>
  <c r="J107" i="8"/>
  <c r="I107" i="8" s="1"/>
  <c r="G107" i="8"/>
  <c r="M106" i="8"/>
  <c r="J106" i="8"/>
  <c r="I106" i="8" s="1"/>
  <c r="G106" i="8"/>
  <c r="M105" i="8"/>
  <c r="H105" i="8"/>
  <c r="G105" i="8" s="1"/>
  <c r="M104" i="8"/>
  <c r="J104" i="8"/>
  <c r="I104" i="8" s="1"/>
  <c r="G104" i="8"/>
  <c r="M103" i="8"/>
  <c r="M120" i="8"/>
  <c r="J103" i="8"/>
  <c r="I103" i="8"/>
  <c r="G103" i="8"/>
  <c r="K96" i="8"/>
  <c r="M95" i="8"/>
  <c r="M96" i="8" s="1"/>
  <c r="J95" i="8"/>
  <c r="I95" i="8" s="1"/>
  <c r="G95" i="8"/>
  <c r="J94" i="8"/>
  <c r="I94" i="8" s="1"/>
  <c r="G94" i="8"/>
  <c r="J93" i="8"/>
  <c r="I93" i="8" s="1"/>
  <c r="G93" i="8"/>
  <c r="G96" i="8" s="1"/>
  <c r="K91" i="8"/>
  <c r="M90" i="8"/>
  <c r="J90" i="8"/>
  <c r="I90" i="8" s="1"/>
  <c r="G90" i="8"/>
  <c r="M89" i="8"/>
  <c r="J89" i="8"/>
  <c r="I89" i="8" s="1"/>
  <c r="G89" i="8"/>
  <c r="M88" i="8"/>
  <c r="J88" i="8"/>
  <c r="I88" i="8" s="1"/>
  <c r="G88" i="8"/>
  <c r="M87" i="8"/>
  <c r="J87" i="8"/>
  <c r="I87" i="8" s="1"/>
  <c r="G87" i="8"/>
  <c r="M86" i="8"/>
  <c r="M91" i="8" s="1"/>
  <c r="J86" i="8"/>
  <c r="I86" i="8"/>
  <c r="G86" i="8"/>
  <c r="G91" i="8" s="1"/>
  <c r="K79" i="8"/>
  <c r="M78" i="8"/>
  <c r="J78" i="8"/>
  <c r="I78" i="8" s="1"/>
  <c r="G78" i="8"/>
  <c r="M77" i="8"/>
  <c r="H77" i="8"/>
  <c r="J77" i="8" s="1"/>
  <c r="I77" i="8" s="1"/>
  <c r="M76" i="8"/>
  <c r="J76" i="8"/>
  <c r="I76" i="8" s="1"/>
  <c r="G76" i="8"/>
  <c r="M75" i="8"/>
  <c r="J75" i="8"/>
  <c r="I75" i="8" s="1"/>
  <c r="G75" i="8"/>
  <c r="M74" i="8"/>
  <c r="J74" i="8"/>
  <c r="I74" i="8" s="1"/>
  <c r="G74" i="8"/>
  <c r="M73" i="8"/>
  <c r="J73" i="8"/>
  <c r="I73" i="8" s="1"/>
  <c r="G73" i="8"/>
  <c r="M72" i="8"/>
  <c r="J72" i="8"/>
  <c r="I72" i="8" s="1"/>
  <c r="G72" i="8"/>
  <c r="M71" i="8"/>
  <c r="J71" i="8"/>
  <c r="I71" i="8" s="1"/>
  <c r="G71" i="8"/>
  <c r="M70" i="8"/>
  <c r="J70" i="8"/>
  <c r="I70" i="8" s="1"/>
  <c r="G70" i="8"/>
  <c r="M69" i="8"/>
  <c r="J69" i="8"/>
  <c r="I69" i="8" s="1"/>
  <c r="G69" i="8"/>
  <c r="M68" i="8"/>
  <c r="M79" i="8"/>
  <c r="H68" i="8"/>
  <c r="J68" i="8"/>
  <c r="I68" i="8" s="1"/>
  <c r="G68" i="8"/>
  <c r="K66" i="8"/>
  <c r="M65" i="8"/>
  <c r="J65" i="8"/>
  <c r="I65" i="8" s="1"/>
  <c r="G65" i="8"/>
  <c r="M64" i="8"/>
  <c r="M66" i="8" s="1"/>
  <c r="H64" i="8"/>
  <c r="J64" i="8" s="1"/>
  <c r="I64" i="8" s="1"/>
  <c r="J63" i="8"/>
  <c r="I63" i="8"/>
  <c r="G63" i="8"/>
  <c r="J62" i="8"/>
  <c r="I62" i="8" s="1"/>
  <c r="G62" i="8"/>
  <c r="K55" i="8"/>
  <c r="M54" i="8"/>
  <c r="H54" i="8"/>
  <c r="G54" i="8" s="1"/>
  <c r="M53" i="8"/>
  <c r="H53" i="8"/>
  <c r="J53" i="8" s="1"/>
  <c r="I53" i="8" s="1"/>
  <c r="M52" i="8"/>
  <c r="H52" i="8"/>
  <c r="G52" i="8"/>
  <c r="M51" i="8"/>
  <c r="J51" i="8"/>
  <c r="I51" i="8" s="1"/>
  <c r="G51" i="8"/>
  <c r="M50" i="8"/>
  <c r="H50" i="8"/>
  <c r="J50" i="8" s="1"/>
  <c r="I50" i="8" s="1"/>
  <c r="M49" i="8"/>
  <c r="J49" i="8"/>
  <c r="I49" i="8" s="1"/>
  <c r="G49" i="8"/>
  <c r="M48" i="8"/>
  <c r="J48" i="8"/>
  <c r="I48" i="8"/>
  <c r="G48" i="8"/>
  <c r="M47" i="8"/>
  <c r="J47" i="8"/>
  <c r="I47" i="8"/>
  <c r="G47" i="8"/>
  <c r="M46" i="8"/>
  <c r="H46" i="8"/>
  <c r="G46" i="8"/>
  <c r="M45" i="8"/>
  <c r="H45" i="8"/>
  <c r="J45" i="8" s="1"/>
  <c r="I45" i="8" s="1"/>
  <c r="M44" i="8"/>
  <c r="H44" i="8"/>
  <c r="G44" i="8" s="1"/>
  <c r="M43" i="8"/>
  <c r="J43" i="8"/>
  <c r="I43" i="8" s="1"/>
  <c r="G43" i="8"/>
  <c r="M42" i="8"/>
  <c r="J42" i="8"/>
  <c r="I42" i="8" s="1"/>
  <c r="G42" i="8"/>
  <c r="M41" i="8"/>
  <c r="H41" i="8"/>
  <c r="J41" i="8" s="1"/>
  <c r="I41" i="8" s="1"/>
  <c r="M40" i="8"/>
  <c r="M55" i="8" s="1"/>
  <c r="H40" i="8"/>
  <c r="G40" i="8" s="1"/>
  <c r="K35" i="8"/>
  <c r="M34" i="8"/>
  <c r="J34" i="8"/>
  <c r="I34" i="8" s="1"/>
  <c r="G34" i="8"/>
  <c r="M33" i="8"/>
  <c r="J33" i="8"/>
  <c r="I33" i="8" s="1"/>
  <c r="G33" i="8"/>
  <c r="M32" i="8"/>
  <c r="H32" i="8"/>
  <c r="J32" i="8" s="1"/>
  <c r="I32" i="8" s="1"/>
  <c r="M31" i="8"/>
  <c r="H31" i="8"/>
  <c r="J31" i="8"/>
  <c r="I31" i="8" s="1"/>
  <c r="G31" i="8"/>
  <c r="M30" i="8"/>
  <c r="J30" i="8"/>
  <c r="I30" i="8" s="1"/>
  <c r="G30" i="8"/>
  <c r="M29" i="8"/>
  <c r="H29" i="8"/>
  <c r="J29" i="8" s="1"/>
  <c r="I29" i="8" s="1"/>
  <c r="M28" i="8"/>
  <c r="H28" i="8"/>
  <c r="G28" i="8" s="1"/>
  <c r="M27" i="8"/>
  <c r="H27" i="8"/>
  <c r="J27" i="8" s="1"/>
  <c r="I27" i="8" s="1"/>
  <c r="G27" i="8"/>
  <c r="M26" i="8"/>
  <c r="J26" i="8"/>
  <c r="I26" i="8" s="1"/>
  <c r="G26" i="8"/>
  <c r="M25" i="8"/>
  <c r="J25" i="8"/>
  <c r="I25" i="8" s="1"/>
  <c r="G25" i="8"/>
  <c r="M24" i="8"/>
  <c r="H24" i="8"/>
  <c r="G24" i="8" s="1"/>
  <c r="H23" i="8"/>
  <c r="G23" i="8" s="1"/>
  <c r="M22" i="8"/>
  <c r="H22" i="8"/>
  <c r="J22" i="8"/>
  <c r="I22" i="8" s="1"/>
  <c r="M21" i="8"/>
  <c r="H21" i="8"/>
  <c r="J21" i="8" s="1"/>
  <c r="I21" i="8" s="1"/>
  <c r="G21" i="8"/>
  <c r="M20" i="8"/>
  <c r="J20" i="8"/>
  <c r="I20" i="8" s="1"/>
  <c r="G20" i="8"/>
  <c r="M19" i="8"/>
  <c r="M35" i="8" s="1"/>
  <c r="J19" i="8"/>
  <c r="I19" i="8" s="1"/>
  <c r="G19" i="8"/>
  <c r="K12" i="8"/>
  <c r="M6" i="8"/>
  <c r="M12" i="8" s="1"/>
  <c r="R17" i="2" s="1"/>
  <c r="N17" i="2" s="1"/>
  <c r="I6" i="8"/>
  <c r="I12" i="8" s="1"/>
  <c r="I10" i="7"/>
  <c r="I11" i="7"/>
  <c r="M10" i="7"/>
  <c r="M11" i="7"/>
  <c r="K163" i="7"/>
  <c r="M162" i="7"/>
  <c r="J162" i="7"/>
  <c r="I162" i="7" s="1"/>
  <c r="G162" i="7"/>
  <c r="M161" i="7"/>
  <c r="J161" i="7"/>
  <c r="I161" i="7" s="1"/>
  <c r="G161" i="7"/>
  <c r="M160" i="7"/>
  <c r="J160" i="7"/>
  <c r="I160" i="7" s="1"/>
  <c r="G160" i="7"/>
  <c r="B160" i="7"/>
  <c r="M159" i="7"/>
  <c r="H159" i="7"/>
  <c r="G159" i="7" s="1"/>
  <c r="B159" i="7"/>
  <c r="M158" i="7"/>
  <c r="M163" i="7" s="1"/>
  <c r="H158" i="7"/>
  <c r="G158" i="7" s="1"/>
  <c r="G163" i="7" s="1"/>
  <c r="B158" i="7"/>
  <c r="K156" i="7"/>
  <c r="M155" i="7"/>
  <c r="M156" i="7" s="1"/>
  <c r="J155" i="7"/>
  <c r="I155" i="7" s="1"/>
  <c r="G155" i="7"/>
  <c r="H154" i="7"/>
  <c r="J154" i="7" s="1"/>
  <c r="I154" i="7" s="1"/>
  <c r="J153" i="7"/>
  <c r="I153" i="7" s="1"/>
  <c r="G153" i="7"/>
  <c r="J152" i="7"/>
  <c r="I152" i="7" s="1"/>
  <c r="M151" i="7"/>
  <c r="K151" i="7"/>
  <c r="J150" i="7"/>
  <c r="I150" i="7" s="1"/>
  <c r="J149" i="7"/>
  <c r="I149" i="7" s="1"/>
  <c r="G149" i="7"/>
  <c r="G151" i="7" s="1"/>
  <c r="K143" i="7"/>
  <c r="M142" i="7"/>
  <c r="H142" i="7"/>
  <c r="G142" i="7" s="1"/>
  <c r="M141" i="7"/>
  <c r="H141" i="7"/>
  <c r="J141" i="7" s="1"/>
  <c r="I141" i="7" s="1"/>
  <c r="M140" i="7"/>
  <c r="H140" i="7"/>
  <c r="G140" i="7" s="1"/>
  <c r="M139" i="7"/>
  <c r="J139" i="7"/>
  <c r="I139" i="7" s="1"/>
  <c r="G139" i="7"/>
  <c r="M138" i="7"/>
  <c r="J138" i="7"/>
  <c r="I138" i="7" s="1"/>
  <c r="G138" i="7"/>
  <c r="M137" i="7"/>
  <c r="J137" i="7"/>
  <c r="I137" i="7" s="1"/>
  <c r="G137" i="7"/>
  <c r="M136" i="7"/>
  <c r="J136" i="7"/>
  <c r="I136" i="7" s="1"/>
  <c r="G136" i="7"/>
  <c r="M135" i="7"/>
  <c r="J135" i="7"/>
  <c r="I135" i="7" s="1"/>
  <c r="G135" i="7"/>
  <c r="M134" i="7"/>
  <c r="J134" i="7"/>
  <c r="I134" i="7" s="1"/>
  <c r="G134" i="7"/>
  <c r="M133" i="7"/>
  <c r="J133" i="7"/>
  <c r="I133" i="7" s="1"/>
  <c r="G133" i="7"/>
  <c r="M132" i="7"/>
  <c r="J132" i="7"/>
  <c r="I132" i="7" s="1"/>
  <c r="G132" i="7"/>
  <c r="K130" i="7"/>
  <c r="M129" i="7"/>
  <c r="J129" i="7"/>
  <c r="I129" i="7" s="1"/>
  <c r="G129" i="7"/>
  <c r="G130" i="7" s="1"/>
  <c r="M128" i="7"/>
  <c r="J128" i="7"/>
  <c r="I128" i="7"/>
  <c r="M127" i="7"/>
  <c r="M130" i="7"/>
  <c r="J127" i="7"/>
  <c r="I127" i="7"/>
  <c r="I130" i="7" s="1"/>
  <c r="K120" i="7"/>
  <c r="M119" i="7"/>
  <c r="H119" i="7"/>
  <c r="J119" i="7" s="1"/>
  <c r="I119" i="7" s="1"/>
  <c r="M118" i="7"/>
  <c r="H118" i="7"/>
  <c r="J118" i="7" s="1"/>
  <c r="I118" i="7" s="1"/>
  <c r="M117" i="7"/>
  <c r="H117" i="7"/>
  <c r="J117" i="7"/>
  <c r="I117" i="7" s="1"/>
  <c r="M116" i="7"/>
  <c r="J116" i="7"/>
  <c r="I116" i="7" s="1"/>
  <c r="G116" i="7"/>
  <c r="M115" i="7"/>
  <c r="J115" i="7"/>
  <c r="I115" i="7" s="1"/>
  <c r="G115" i="7"/>
  <c r="M114" i="7"/>
  <c r="H114" i="7"/>
  <c r="J114" i="7" s="1"/>
  <c r="I114" i="7" s="1"/>
  <c r="M113" i="7"/>
  <c r="J113" i="7"/>
  <c r="I113" i="7" s="1"/>
  <c r="G113" i="7"/>
  <c r="M112" i="7"/>
  <c r="J112" i="7"/>
  <c r="I112" i="7" s="1"/>
  <c r="G112" i="7"/>
  <c r="M111" i="7"/>
  <c r="J111" i="7"/>
  <c r="I111" i="7" s="1"/>
  <c r="G111" i="7"/>
  <c r="M110" i="7"/>
  <c r="H110" i="7"/>
  <c r="J110" i="7" s="1"/>
  <c r="I110" i="7" s="1"/>
  <c r="C110" i="7"/>
  <c r="M109" i="7"/>
  <c r="H109" i="7"/>
  <c r="J109" i="7" s="1"/>
  <c r="I109" i="7" s="1"/>
  <c r="M108" i="7"/>
  <c r="J108" i="7"/>
  <c r="I108" i="7" s="1"/>
  <c r="G108" i="7"/>
  <c r="M107" i="7"/>
  <c r="J107" i="7"/>
  <c r="I107" i="7" s="1"/>
  <c r="G107" i="7"/>
  <c r="M106" i="7"/>
  <c r="J106" i="7"/>
  <c r="I106" i="7" s="1"/>
  <c r="G106" i="7"/>
  <c r="M105" i="7"/>
  <c r="H105" i="7"/>
  <c r="G105" i="7" s="1"/>
  <c r="M104" i="7"/>
  <c r="J104" i="7"/>
  <c r="I104" i="7" s="1"/>
  <c r="G104" i="7"/>
  <c r="M103" i="7"/>
  <c r="J103" i="7"/>
  <c r="I103" i="7" s="1"/>
  <c r="G103" i="7"/>
  <c r="K96" i="7"/>
  <c r="M95" i="7"/>
  <c r="M96" i="7" s="1"/>
  <c r="J95" i="7"/>
  <c r="I95" i="7" s="1"/>
  <c r="G95" i="7"/>
  <c r="J94" i="7"/>
  <c r="I94" i="7" s="1"/>
  <c r="G94" i="7"/>
  <c r="J93" i="7"/>
  <c r="I93" i="7" s="1"/>
  <c r="G93" i="7"/>
  <c r="K91" i="7"/>
  <c r="M90" i="7"/>
  <c r="J90" i="7"/>
  <c r="I90" i="7" s="1"/>
  <c r="G90" i="7"/>
  <c r="M89" i="7"/>
  <c r="J89" i="7"/>
  <c r="I89" i="7" s="1"/>
  <c r="G89" i="7"/>
  <c r="M88" i="7"/>
  <c r="J88" i="7"/>
  <c r="I88" i="7" s="1"/>
  <c r="G88" i="7"/>
  <c r="M87" i="7"/>
  <c r="J87" i="7"/>
  <c r="I87" i="7" s="1"/>
  <c r="G87" i="7"/>
  <c r="M86" i="7"/>
  <c r="M91" i="7" s="1"/>
  <c r="J86" i="7"/>
  <c r="I86" i="7" s="1"/>
  <c r="G86" i="7"/>
  <c r="G91" i="7" s="1"/>
  <c r="K79" i="7"/>
  <c r="M78" i="7"/>
  <c r="J78" i="7"/>
  <c r="I78" i="7" s="1"/>
  <c r="G78" i="7"/>
  <c r="M77" i="7"/>
  <c r="H77" i="7"/>
  <c r="J77" i="7" s="1"/>
  <c r="I77" i="7" s="1"/>
  <c r="M76" i="7"/>
  <c r="J76" i="7"/>
  <c r="I76" i="7" s="1"/>
  <c r="G76" i="7"/>
  <c r="M75" i="7"/>
  <c r="J75" i="7"/>
  <c r="I75" i="7" s="1"/>
  <c r="G75" i="7"/>
  <c r="M74" i="7"/>
  <c r="J74" i="7"/>
  <c r="I74" i="7" s="1"/>
  <c r="G74" i="7"/>
  <c r="M73" i="7"/>
  <c r="J73" i="7"/>
  <c r="I73" i="7" s="1"/>
  <c r="G73" i="7"/>
  <c r="M72" i="7"/>
  <c r="J72" i="7"/>
  <c r="I72" i="7" s="1"/>
  <c r="G72" i="7"/>
  <c r="M71" i="7"/>
  <c r="J71" i="7"/>
  <c r="I71" i="7" s="1"/>
  <c r="G71" i="7"/>
  <c r="M70" i="7"/>
  <c r="J70" i="7"/>
  <c r="I70" i="7" s="1"/>
  <c r="G70" i="7"/>
  <c r="M69" i="7"/>
  <c r="J69" i="7"/>
  <c r="I69" i="7" s="1"/>
  <c r="G69" i="7"/>
  <c r="M68" i="7"/>
  <c r="H68" i="7"/>
  <c r="K66" i="7"/>
  <c r="M65" i="7"/>
  <c r="J65" i="7"/>
  <c r="I65" i="7" s="1"/>
  <c r="G65" i="7"/>
  <c r="M64" i="7"/>
  <c r="H64" i="7"/>
  <c r="J64" i="7" s="1"/>
  <c r="I64" i="7" s="1"/>
  <c r="J63" i="7"/>
  <c r="I63" i="7" s="1"/>
  <c r="G63" i="7"/>
  <c r="J62" i="7"/>
  <c r="I62" i="7" s="1"/>
  <c r="G62" i="7"/>
  <c r="K55" i="7"/>
  <c r="M54" i="7"/>
  <c r="H54" i="7"/>
  <c r="G54" i="7" s="1"/>
  <c r="M53" i="7"/>
  <c r="H53" i="7"/>
  <c r="J53" i="7" s="1"/>
  <c r="I53" i="7" s="1"/>
  <c r="M52" i="7"/>
  <c r="H52" i="7"/>
  <c r="G52" i="7" s="1"/>
  <c r="M51" i="7"/>
  <c r="J51" i="7"/>
  <c r="I51" i="7" s="1"/>
  <c r="G51" i="7"/>
  <c r="M50" i="7"/>
  <c r="H50" i="7"/>
  <c r="J50" i="7" s="1"/>
  <c r="I50" i="7" s="1"/>
  <c r="M49" i="7"/>
  <c r="J49" i="7"/>
  <c r="I49" i="7" s="1"/>
  <c r="G49" i="7"/>
  <c r="M48" i="7"/>
  <c r="J48" i="7"/>
  <c r="I48" i="7" s="1"/>
  <c r="G48" i="7"/>
  <c r="M47" i="7"/>
  <c r="J47" i="7"/>
  <c r="I47" i="7" s="1"/>
  <c r="G47" i="7"/>
  <c r="M46" i="7"/>
  <c r="H46" i="7"/>
  <c r="G46" i="7" s="1"/>
  <c r="M45" i="7"/>
  <c r="H45" i="7"/>
  <c r="J45" i="7" s="1"/>
  <c r="I45" i="7" s="1"/>
  <c r="G45" i="7"/>
  <c r="M44" i="7"/>
  <c r="H44" i="7"/>
  <c r="G44" i="7" s="1"/>
  <c r="M43" i="7"/>
  <c r="J43" i="7"/>
  <c r="I43" i="7" s="1"/>
  <c r="G43" i="7"/>
  <c r="M42" i="7"/>
  <c r="J42" i="7"/>
  <c r="I42" i="7" s="1"/>
  <c r="G42" i="7"/>
  <c r="M41" i="7"/>
  <c r="H41" i="7"/>
  <c r="J41" i="7" s="1"/>
  <c r="I41" i="7" s="1"/>
  <c r="M40" i="7"/>
  <c r="H40" i="7"/>
  <c r="G40" i="7" s="1"/>
  <c r="K35" i="7"/>
  <c r="M34" i="7"/>
  <c r="J34" i="7"/>
  <c r="I34" i="7" s="1"/>
  <c r="G34" i="7"/>
  <c r="M33" i="7"/>
  <c r="J33" i="7"/>
  <c r="I33" i="7" s="1"/>
  <c r="G33" i="7"/>
  <c r="M32" i="7"/>
  <c r="H32" i="7"/>
  <c r="J32" i="7" s="1"/>
  <c r="I32" i="7" s="1"/>
  <c r="M31" i="7"/>
  <c r="H31" i="7"/>
  <c r="G31" i="7" s="1"/>
  <c r="M30" i="7"/>
  <c r="J30" i="7"/>
  <c r="I30" i="7" s="1"/>
  <c r="G30" i="7"/>
  <c r="M29" i="7"/>
  <c r="H29" i="7"/>
  <c r="J29" i="7" s="1"/>
  <c r="I29" i="7" s="1"/>
  <c r="M28" i="7"/>
  <c r="H28" i="7"/>
  <c r="G28" i="7" s="1"/>
  <c r="M27" i="7"/>
  <c r="H27" i="7"/>
  <c r="J27" i="7" s="1"/>
  <c r="I27" i="7" s="1"/>
  <c r="M26" i="7"/>
  <c r="J26" i="7"/>
  <c r="I26" i="7" s="1"/>
  <c r="G26" i="7"/>
  <c r="M25" i="7"/>
  <c r="J25" i="7"/>
  <c r="I25" i="7" s="1"/>
  <c r="G25" i="7"/>
  <c r="M24" i="7"/>
  <c r="H24" i="7"/>
  <c r="G24" i="7" s="1"/>
  <c r="H23" i="7"/>
  <c r="J23" i="7" s="1"/>
  <c r="I23" i="7" s="1"/>
  <c r="M22" i="7"/>
  <c r="H22" i="7"/>
  <c r="J22" i="7" s="1"/>
  <c r="I22" i="7" s="1"/>
  <c r="M21" i="7"/>
  <c r="H21" i="7"/>
  <c r="J21" i="7" s="1"/>
  <c r="I21" i="7" s="1"/>
  <c r="M20" i="7"/>
  <c r="J20" i="7"/>
  <c r="I20" i="7" s="1"/>
  <c r="G20" i="7"/>
  <c r="M19" i="7"/>
  <c r="J19" i="7"/>
  <c r="I19" i="7" s="1"/>
  <c r="G19" i="7"/>
  <c r="K12" i="7"/>
  <c r="M8" i="7"/>
  <c r="I8" i="7"/>
  <c r="M7" i="7"/>
  <c r="I7" i="7"/>
  <c r="I9" i="6"/>
  <c r="M9" i="6"/>
  <c r="K167" i="6"/>
  <c r="M166" i="6"/>
  <c r="J166" i="6"/>
  <c r="I166" i="6" s="1"/>
  <c r="G166" i="6"/>
  <c r="M165" i="6"/>
  <c r="J165" i="6"/>
  <c r="I165" i="6" s="1"/>
  <c r="G165" i="6"/>
  <c r="M164" i="6"/>
  <c r="J164" i="6"/>
  <c r="I164" i="6" s="1"/>
  <c r="G164" i="6"/>
  <c r="B164" i="6"/>
  <c r="M163" i="6"/>
  <c r="H163" i="6"/>
  <c r="G163" i="6"/>
  <c r="B163" i="6"/>
  <c r="M162" i="6"/>
  <c r="M167" i="6" s="1"/>
  <c r="H162" i="6"/>
  <c r="G162" i="6" s="1"/>
  <c r="B162" i="6"/>
  <c r="K160" i="6"/>
  <c r="M159" i="6"/>
  <c r="M160" i="6" s="1"/>
  <c r="J159" i="6"/>
  <c r="I159" i="6" s="1"/>
  <c r="G159" i="6"/>
  <c r="H158" i="6"/>
  <c r="J158" i="6" s="1"/>
  <c r="I158" i="6" s="1"/>
  <c r="J157" i="6"/>
  <c r="I157" i="6" s="1"/>
  <c r="G157" i="6"/>
  <c r="J156" i="6"/>
  <c r="I156" i="6" s="1"/>
  <c r="M155" i="6"/>
  <c r="K155" i="6"/>
  <c r="J154" i="6"/>
  <c r="I154" i="6" s="1"/>
  <c r="J153" i="6"/>
  <c r="I153" i="6" s="1"/>
  <c r="G153" i="6"/>
  <c r="G155" i="6" s="1"/>
  <c r="K147" i="6"/>
  <c r="M146" i="6"/>
  <c r="H146" i="6"/>
  <c r="G146" i="6" s="1"/>
  <c r="M145" i="6"/>
  <c r="H145" i="6"/>
  <c r="J145" i="6"/>
  <c r="I145" i="6" s="1"/>
  <c r="G145" i="6"/>
  <c r="M144" i="6"/>
  <c r="H144" i="6"/>
  <c r="G144" i="6" s="1"/>
  <c r="M143" i="6"/>
  <c r="J143" i="6"/>
  <c r="I143" i="6"/>
  <c r="G143" i="6"/>
  <c r="M142" i="6"/>
  <c r="J142" i="6"/>
  <c r="I142" i="6"/>
  <c r="G142" i="6"/>
  <c r="M141" i="6"/>
  <c r="J141" i="6"/>
  <c r="I141" i="6"/>
  <c r="G141" i="6"/>
  <c r="M140" i="6"/>
  <c r="J140" i="6"/>
  <c r="I140" i="6"/>
  <c r="G140" i="6"/>
  <c r="M139" i="6"/>
  <c r="J139" i="6"/>
  <c r="I139" i="6"/>
  <c r="G139" i="6"/>
  <c r="M138" i="6"/>
  <c r="J138" i="6"/>
  <c r="I138" i="6"/>
  <c r="G138" i="6"/>
  <c r="M137" i="6"/>
  <c r="J137" i="6"/>
  <c r="I137" i="6"/>
  <c r="G137" i="6"/>
  <c r="M136" i="6"/>
  <c r="M147" i="6" s="1"/>
  <c r="J136" i="6"/>
  <c r="I136" i="6" s="1"/>
  <c r="G136" i="6"/>
  <c r="K134" i="6"/>
  <c r="M133" i="6"/>
  <c r="J133" i="6"/>
  <c r="I133" i="6" s="1"/>
  <c r="G133" i="6"/>
  <c r="G134" i="6" s="1"/>
  <c r="M132" i="6"/>
  <c r="J132" i="6"/>
  <c r="I132" i="6" s="1"/>
  <c r="M131" i="6"/>
  <c r="M134" i="6" s="1"/>
  <c r="J131" i="6"/>
  <c r="I131" i="6" s="1"/>
  <c r="I134" i="6" s="1"/>
  <c r="K124" i="6"/>
  <c r="M123" i="6"/>
  <c r="H123" i="6"/>
  <c r="J123" i="6" s="1"/>
  <c r="I123" i="6" s="1"/>
  <c r="M122" i="6"/>
  <c r="H122" i="6"/>
  <c r="G122" i="6" s="1"/>
  <c r="M121" i="6"/>
  <c r="H121" i="6"/>
  <c r="J121" i="6" s="1"/>
  <c r="I121" i="6" s="1"/>
  <c r="G121" i="6"/>
  <c r="M120" i="6"/>
  <c r="J120" i="6"/>
  <c r="I120" i="6" s="1"/>
  <c r="G120" i="6"/>
  <c r="M119" i="6"/>
  <c r="J119" i="6"/>
  <c r="I119" i="6" s="1"/>
  <c r="G119" i="6"/>
  <c r="M118" i="6"/>
  <c r="H118" i="6"/>
  <c r="G118" i="6" s="1"/>
  <c r="M117" i="6"/>
  <c r="J117" i="6"/>
  <c r="I117" i="6" s="1"/>
  <c r="G117" i="6"/>
  <c r="M116" i="6"/>
  <c r="J116" i="6"/>
  <c r="I116" i="6" s="1"/>
  <c r="G116" i="6"/>
  <c r="M115" i="6"/>
  <c r="J115" i="6"/>
  <c r="I115" i="6" s="1"/>
  <c r="G115" i="6"/>
  <c r="M114" i="6"/>
  <c r="H114" i="6"/>
  <c r="J114" i="6" s="1"/>
  <c r="I114" i="6" s="1"/>
  <c r="G114" i="6"/>
  <c r="C114" i="6"/>
  <c r="M113" i="6"/>
  <c r="H113" i="6"/>
  <c r="J113" i="6"/>
  <c r="I113" i="6" s="1"/>
  <c r="M112" i="6"/>
  <c r="J112" i="6"/>
  <c r="I112" i="6" s="1"/>
  <c r="G112" i="6"/>
  <c r="M111" i="6"/>
  <c r="J111" i="6"/>
  <c r="I111" i="6" s="1"/>
  <c r="G111" i="6"/>
  <c r="M110" i="6"/>
  <c r="J110" i="6"/>
  <c r="I110" i="6" s="1"/>
  <c r="G110" i="6"/>
  <c r="M109" i="6"/>
  <c r="H109" i="6"/>
  <c r="G109" i="6" s="1"/>
  <c r="M108" i="6"/>
  <c r="J108" i="6"/>
  <c r="I108" i="6" s="1"/>
  <c r="G108" i="6"/>
  <c r="M107" i="6"/>
  <c r="M124" i="6"/>
  <c r="J107" i="6"/>
  <c r="I107" i="6"/>
  <c r="G107" i="6"/>
  <c r="K100" i="6"/>
  <c r="M99" i="6"/>
  <c r="M100" i="6"/>
  <c r="J99" i="6"/>
  <c r="I99" i="6"/>
  <c r="G99" i="6"/>
  <c r="J98" i="6"/>
  <c r="I98" i="6" s="1"/>
  <c r="G98" i="6"/>
  <c r="J97" i="6"/>
  <c r="I97" i="6" s="1"/>
  <c r="G97" i="6"/>
  <c r="G100" i="6" s="1"/>
  <c r="K95" i="6"/>
  <c r="M94" i="6"/>
  <c r="J94" i="6"/>
  <c r="I94" i="6" s="1"/>
  <c r="G94" i="6"/>
  <c r="M93" i="6"/>
  <c r="J93" i="6"/>
  <c r="I93" i="6" s="1"/>
  <c r="G93" i="6"/>
  <c r="M92" i="6"/>
  <c r="J92" i="6"/>
  <c r="I92" i="6" s="1"/>
  <c r="G92" i="6"/>
  <c r="M91" i="6"/>
  <c r="J91" i="6"/>
  <c r="I91" i="6" s="1"/>
  <c r="G91" i="6"/>
  <c r="M90" i="6"/>
  <c r="M95" i="6"/>
  <c r="J90" i="6"/>
  <c r="I90" i="6"/>
  <c r="G90" i="6"/>
  <c r="G95" i="6"/>
  <c r="K83" i="6"/>
  <c r="M82" i="6"/>
  <c r="J82" i="6"/>
  <c r="I82" i="6"/>
  <c r="G82" i="6"/>
  <c r="M81" i="6"/>
  <c r="H81" i="6"/>
  <c r="J81" i="6"/>
  <c r="I81" i="6" s="1"/>
  <c r="M80" i="6"/>
  <c r="J80" i="6"/>
  <c r="I80" i="6" s="1"/>
  <c r="G80" i="6"/>
  <c r="M79" i="6"/>
  <c r="J79" i="6"/>
  <c r="I79" i="6" s="1"/>
  <c r="G79" i="6"/>
  <c r="M78" i="6"/>
  <c r="J78" i="6"/>
  <c r="I78" i="6" s="1"/>
  <c r="G78" i="6"/>
  <c r="M77" i="6"/>
  <c r="J77" i="6"/>
  <c r="I77" i="6" s="1"/>
  <c r="G77" i="6"/>
  <c r="M76" i="6"/>
  <c r="J76" i="6"/>
  <c r="I76" i="6" s="1"/>
  <c r="G76" i="6"/>
  <c r="M75" i="6"/>
  <c r="J75" i="6"/>
  <c r="I75" i="6" s="1"/>
  <c r="G75" i="6"/>
  <c r="M74" i="6"/>
  <c r="J74" i="6"/>
  <c r="I74" i="6" s="1"/>
  <c r="G74" i="6"/>
  <c r="M73" i="6"/>
  <c r="J73" i="6"/>
  <c r="I73" i="6" s="1"/>
  <c r="G73" i="6"/>
  <c r="M72" i="6"/>
  <c r="H72" i="6"/>
  <c r="J72" i="6" s="1"/>
  <c r="I72" i="6" s="1"/>
  <c r="K70" i="6"/>
  <c r="M69" i="6"/>
  <c r="J69" i="6"/>
  <c r="I69" i="6" s="1"/>
  <c r="G69" i="6"/>
  <c r="M68" i="6"/>
  <c r="M70" i="6" s="1"/>
  <c r="H68" i="6"/>
  <c r="J68" i="6" s="1"/>
  <c r="I68" i="6" s="1"/>
  <c r="J67" i="6"/>
  <c r="I67" i="6" s="1"/>
  <c r="G67" i="6"/>
  <c r="J66" i="6"/>
  <c r="I66" i="6" s="1"/>
  <c r="G66" i="6"/>
  <c r="K59" i="6"/>
  <c r="M58" i="6"/>
  <c r="H58" i="6"/>
  <c r="G58" i="6" s="1"/>
  <c r="M57" i="6"/>
  <c r="H57" i="6"/>
  <c r="J57" i="6" s="1"/>
  <c r="I57" i="6" s="1"/>
  <c r="M56" i="6"/>
  <c r="H56" i="6"/>
  <c r="G56" i="6" s="1"/>
  <c r="M55" i="6"/>
  <c r="J55" i="6"/>
  <c r="I55" i="6"/>
  <c r="G55" i="6"/>
  <c r="M54" i="6"/>
  <c r="H54" i="6"/>
  <c r="J54" i="6"/>
  <c r="I54" i="6" s="1"/>
  <c r="G54" i="6"/>
  <c r="M53" i="6"/>
  <c r="J53" i="6"/>
  <c r="I53" i="6" s="1"/>
  <c r="G53" i="6"/>
  <c r="M52" i="6"/>
  <c r="J52" i="6"/>
  <c r="I52" i="6" s="1"/>
  <c r="G52" i="6"/>
  <c r="M51" i="6"/>
  <c r="J51" i="6"/>
  <c r="I51" i="6" s="1"/>
  <c r="G51" i="6"/>
  <c r="M50" i="6"/>
  <c r="H50" i="6"/>
  <c r="G50" i="6" s="1"/>
  <c r="M49" i="6"/>
  <c r="H49" i="6"/>
  <c r="J49" i="6" s="1"/>
  <c r="I49" i="6" s="1"/>
  <c r="G49" i="6"/>
  <c r="M48" i="6"/>
  <c r="H48" i="6"/>
  <c r="G48" i="6" s="1"/>
  <c r="M47" i="6"/>
  <c r="J47" i="6"/>
  <c r="I47" i="6" s="1"/>
  <c r="G47" i="6"/>
  <c r="M46" i="6"/>
  <c r="J46" i="6"/>
  <c r="I46" i="6" s="1"/>
  <c r="G46" i="6"/>
  <c r="M45" i="6"/>
  <c r="H45" i="6"/>
  <c r="J45" i="6" s="1"/>
  <c r="I45" i="6" s="1"/>
  <c r="G45" i="6"/>
  <c r="M44" i="6"/>
  <c r="M59" i="6"/>
  <c r="H44" i="6"/>
  <c r="G44" i="6"/>
  <c r="K39" i="6"/>
  <c r="M38" i="6"/>
  <c r="J38" i="6"/>
  <c r="I38" i="6" s="1"/>
  <c r="G38" i="6"/>
  <c r="M37" i="6"/>
  <c r="J37" i="6"/>
  <c r="I37" i="6" s="1"/>
  <c r="G37" i="6"/>
  <c r="M36" i="6"/>
  <c r="H36" i="6"/>
  <c r="J36" i="6" s="1"/>
  <c r="I36" i="6" s="1"/>
  <c r="M35" i="6"/>
  <c r="H35" i="6"/>
  <c r="G35" i="6" s="1"/>
  <c r="M34" i="6"/>
  <c r="J34" i="6"/>
  <c r="I34" i="6"/>
  <c r="G34" i="6"/>
  <c r="M33" i="6"/>
  <c r="H33" i="6"/>
  <c r="J33" i="6"/>
  <c r="I33" i="6" s="1"/>
  <c r="M32" i="6"/>
  <c r="H32" i="6"/>
  <c r="G32" i="6" s="1"/>
  <c r="M31" i="6"/>
  <c r="H31" i="6"/>
  <c r="J31" i="6" s="1"/>
  <c r="I31" i="6" s="1"/>
  <c r="M30" i="6"/>
  <c r="J30" i="6"/>
  <c r="I30" i="6" s="1"/>
  <c r="G30" i="6"/>
  <c r="M29" i="6"/>
  <c r="J29" i="6"/>
  <c r="I29" i="6" s="1"/>
  <c r="G29" i="6"/>
  <c r="M28" i="6"/>
  <c r="H28" i="6"/>
  <c r="G28" i="6" s="1"/>
  <c r="H27" i="6"/>
  <c r="G27" i="6" s="1"/>
  <c r="M26" i="6"/>
  <c r="H26" i="6"/>
  <c r="J26" i="6" s="1"/>
  <c r="I26" i="6" s="1"/>
  <c r="M25" i="6"/>
  <c r="H25" i="6"/>
  <c r="J25" i="6"/>
  <c r="I25" i="6" s="1"/>
  <c r="G25" i="6"/>
  <c r="M24" i="6"/>
  <c r="J24" i="6"/>
  <c r="I24" i="6" s="1"/>
  <c r="G24" i="6"/>
  <c r="M23" i="6"/>
  <c r="M39" i="6"/>
  <c r="J23" i="6"/>
  <c r="I23" i="6"/>
  <c r="G23" i="6"/>
  <c r="K16" i="6"/>
  <c r="M8" i="6"/>
  <c r="R15" i="2" s="1"/>
  <c r="N15" i="2" s="1"/>
  <c r="I8" i="6"/>
  <c r="K164" i="5"/>
  <c r="M163" i="5"/>
  <c r="J163" i="5"/>
  <c r="I163" i="5" s="1"/>
  <c r="G163" i="5"/>
  <c r="M162" i="5"/>
  <c r="J162" i="5"/>
  <c r="I162" i="5" s="1"/>
  <c r="G162" i="5"/>
  <c r="M161" i="5"/>
  <c r="J161" i="5"/>
  <c r="I161" i="5"/>
  <c r="G161" i="5"/>
  <c r="B161" i="5"/>
  <c r="M160" i="5"/>
  <c r="H160" i="5"/>
  <c r="G160" i="5" s="1"/>
  <c r="B160" i="5"/>
  <c r="M159" i="5"/>
  <c r="M164" i="5" s="1"/>
  <c r="H159" i="5"/>
  <c r="G159" i="5" s="1"/>
  <c r="B159" i="5"/>
  <c r="K157" i="5"/>
  <c r="M156" i="5"/>
  <c r="M157" i="5" s="1"/>
  <c r="J156" i="5"/>
  <c r="I156" i="5" s="1"/>
  <c r="G156" i="5"/>
  <c r="H155" i="5"/>
  <c r="J155" i="5" s="1"/>
  <c r="I155" i="5" s="1"/>
  <c r="J154" i="5"/>
  <c r="I154" i="5" s="1"/>
  <c r="G154" i="5"/>
  <c r="J153" i="5"/>
  <c r="I153" i="5" s="1"/>
  <c r="M152" i="5"/>
  <c r="K152" i="5"/>
  <c r="J151" i="5"/>
  <c r="I151" i="5" s="1"/>
  <c r="J150" i="5"/>
  <c r="I150" i="5" s="1"/>
  <c r="G150" i="5"/>
  <c r="G152" i="5" s="1"/>
  <c r="K144" i="5"/>
  <c r="M143" i="5"/>
  <c r="H143" i="5"/>
  <c r="G143" i="5" s="1"/>
  <c r="M142" i="5"/>
  <c r="H142" i="5"/>
  <c r="J142" i="5"/>
  <c r="I142" i="5" s="1"/>
  <c r="G142" i="5"/>
  <c r="M141" i="5"/>
  <c r="H141" i="5"/>
  <c r="G141" i="5" s="1"/>
  <c r="M140" i="5"/>
  <c r="J140" i="5"/>
  <c r="I140" i="5" s="1"/>
  <c r="G140" i="5"/>
  <c r="M139" i="5"/>
  <c r="J139" i="5"/>
  <c r="I139" i="5" s="1"/>
  <c r="G139" i="5"/>
  <c r="M138" i="5"/>
  <c r="J138" i="5"/>
  <c r="I138" i="5" s="1"/>
  <c r="G138" i="5"/>
  <c r="M137" i="5"/>
  <c r="J137" i="5"/>
  <c r="I137" i="5" s="1"/>
  <c r="G137" i="5"/>
  <c r="M136" i="5"/>
  <c r="J136" i="5"/>
  <c r="I136" i="5" s="1"/>
  <c r="G136" i="5"/>
  <c r="M135" i="5"/>
  <c r="J135" i="5"/>
  <c r="I135" i="5" s="1"/>
  <c r="G135" i="5"/>
  <c r="M134" i="5"/>
  <c r="J134" i="5"/>
  <c r="I134" i="5" s="1"/>
  <c r="G134" i="5"/>
  <c r="M133" i="5"/>
  <c r="M144" i="5"/>
  <c r="J133" i="5"/>
  <c r="I133" i="5"/>
  <c r="G133" i="5"/>
  <c r="K131" i="5"/>
  <c r="M130" i="5"/>
  <c r="J130" i="5"/>
  <c r="I130" i="5" s="1"/>
  <c r="G130" i="5"/>
  <c r="G131" i="5" s="1"/>
  <c r="M129" i="5"/>
  <c r="J129" i="5"/>
  <c r="I129" i="5" s="1"/>
  <c r="M128" i="5"/>
  <c r="M131" i="5" s="1"/>
  <c r="J128" i="5"/>
  <c r="I128" i="5"/>
  <c r="K121" i="5"/>
  <c r="M120" i="5"/>
  <c r="H120" i="5"/>
  <c r="J120" i="5" s="1"/>
  <c r="I120" i="5" s="1"/>
  <c r="M119" i="5"/>
  <c r="H119" i="5"/>
  <c r="G119" i="5"/>
  <c r="M118" i="5"/>
  <c r="H118" i="5"/>
  <c r="J118" i="5" s="1"/>
  <c r="I118" i="5" s="1"/>
  <c r="M117" i="5"/>
  <c r="J117" i="5"/>
  <c r="I117" i="5" s="1"/>
  <c r="G117" i="5"/>
  <c r="M116" i="5"/>
  <c r="J116" i="5"/>
  <c r="I116" i="5" s="1"/>
  <c r="G116" i="5"/>
  <c r="M115" i="5"/>
  <c r="H115" i="5"/>
  <c r="G115" i="5" s="1"/>
  <c r="M114" i="5"/>
  <c r="J114" i="5"/>
  <c r="I114" i="5" s="1"/>
  <c r="G114" i="5"/>
  <c r="M113" i="5"/>
  <c r="J113" i="5"/>
  <c r="I113" i="5" s="1"/>
  <c r="G113" i="5"/>
  <c r="M112" i="5"/>
  <c r="J112" i="5"/>
  <c r="I112" i="5" s="1"/>
  <c r="G112" i="5"/>
  <c r="M111" i="5"/>
  <c r="H111" i="5"/>
  <c r="J111" i="5" s="1"/>
  <c r="I111" i="5" s="1"/>
  <c r="C111" i="5"/>
  <c r="M110" i="5"/>
  <c r="H110" i="5"/>
  <c r="J110" i="5" s="1"/>
  <c r="I110" i="5" s="1"/>
  <c r="M109" i="5"/>
  <c r="J109" i="5"/>
  <c r="I109" i="5"/>
  <c r="G109" i="5"/>
  <c r="M108" i="5"/>
  <c r="J108" i="5"/>
  <c r="I108" i="5"/>
  <c r="G108" i="5"/>
  <c r="M107" i="5"/>
  <c r="J107" i="5"/>
  <c r="I107" i="5"/>
  <c r="G107" i="5"/>
  <c r="M106" i="5"/>
  <c r="H106" i="5"/>
  <c r="G106" i="5"/>
  <c r="M105" i="5"/>
  <c r="J105" i="5"/>
  <c r="I105" i="5" s="1"/>
  <c r="G105" i="5"/>
  <c r="M104" i="5"/>
  <c r="M121" i="5" s="1"/>
  <c r="J104" i="5"/>
  <c r="I104" i="5" s="1"/>
  <c r="G104" i="5"/>
  <c r="K97" i="5"/>
  <c r="M96" i="5"/>
  <c r="M97" i="5" s="1"/>
  <c r="J96" i="5"/>
  <c r="I96" i="5" s="1"/>
  <c r="G96" i="5"/>
  <c r="J95" i="5"/>
  <c r="I95" i="5"/>
  <c r="G95" i="5"/>
  <c r="J94" i="5"/>
  <c r="I94" i="5" s="1"/>
  <c r="G94" i="5"/>
  <c r="G97" i="5"/>
  <c r="K92" i="5"/>
  <c r="M91" i="5"/>
  <c r="J91" i="5"/>
  <c r="I91" i="5"/>
  <c r="G91" i="5"/>
  <c r="M90" i="5"/>
  <c r="J90" i="5"/>
  <c r="I90" i="5"/>
  <c r="G90" i="5"/>
  <c r="M89" i="5"/>
  <c r="J89" i="5"/>
  <c r="I89" i="5"/>
  <c r="G89" i="5"/>
  <c r="M88" i="5"/>
  <c r="J88" i="5"/>
  <c r="I88" i="5"/>
  <c r="G88" i="5"/>
  <c r="M87" i="5"/>
  <c r="M92" i="5" s="1"/>
  <c r="J87" i="5"/>
  <c r="I87" i="5" s="1"/>
  <c r="G87" i="5"/>
  <c r="G92" i="5" s="1"/>
  <c r="K80" i="5"/>
  <c r="M79" i="5"/>
  <c r="J79" i="5"/>
  <c r="I79" i="5" s="1"/>
  <c r="G79" i="5"/>
  <c r="M78" i="5"/>
  <c r="H78" i="5"/>
  <c r="J78" i="5" s="1"/>
  <c r="I78" i="5" s="1"/>
  <c r="G78" i="5"/>
  <c r="M77" i="5"/>
  <c r="J77" i="5"/>
  <c r="I77" i="5" s="1"/>
  <c r="G77" i="5"/>
  <c r="M76" i="5"/>
  <c r="J76" i="5"/>
  <c r="I76" i="5" s="1"/>
  <c r="G76" i="5"/>
  <c r="M75" i="5"/>
  <c r="J75" i="5"/>
  <c r="I75" i="5" s="1"/>
  <c r="G75" i="5"/>
  <c r="M74" i="5"/>
  <c r="J74" i="5"/>
  <c r="I74" i="5" s="1"/>
  <c r="G74" i="5"/>
  <c r="M73" i="5"/>
  <c r="J73" i="5"/>
  <c r="I73" i="5" s="1"/>
  <c r="G73" i="5"/>
  <c r="M72" i="5"/>
  <c r="J72" i="5"/>
  <c r="I72" i="5" s="1"/>
  <c r="G72" i="5"/>
  <c r="M71" i="5"/>
  <c r="J71" i="5"/>
  <c r="I71" i="5" s="1"/>
  <c r="G71" i="5"/>
  <c r="M70" i="5"/>
  <c r="J70" i="5"/>
  <c r="I70" i="5" s="1"/>
  <c r="G70" i="5"/>
  <c r="M69" i="5"/>
  <c r="H69" i="5"/>
  <c r="G69" i="5" s="1"/>
  <c r="G80" i="5" s="1"/>
  <c r="K67" i="5"/>
  <c r="M66" i="5"/>
  <c r="J66" i="5"/>
  <c r="I66" i="5"/>
  <c r="G66" i="5"/>
  <c r="M65" i="5"/>
  <c r="M67" i="5" s="1"/>
  <c r="H65" i="5"/>
  <c r="J65" i="5" s="1"/>
  <c r="I65" i="5" s="1"/>
  <c r="J64" i="5"/>
  <c r="I64" i="5" s="1"/>
  <c r="G64" i="5"/>
  <c r="J63" i="5"/>
  <c r="I63" i="5" s="1"/>
  <c r="I67" i="5" s="1"/>
  <c r="G63" i="5"/>
  <c r="K56" i="5"/>
  <c r="M55" i="5"/>
  <c r="H55" i="5"/>
  <c r="G55" i="5" s="1"/>
  <c r="M54" i="5"/>
  <c r="H54" i="5"/>
  <c r="J54" i="5"/>
  <c r="I54" i="5" s="1"/>
  <c r="G54" i="5"/>
  <c r="M53" i="5"/>
  <c r="H53" i="5"/>
  <c r="G53" i="5" s="1"/>
  <c r="M52" i="5"/>
  <c r="J52" i="5"/>
  <c r="I52" i="5"/>
  <c r="G52" i="5"/>
  <c r="M51" i="5"/>
  <c r="H51" i="5"/>
  <c r="J51" i="5"/>
  <c r="I51" i="5" s="1"/>
  <c r="G51" i="5"/>
  <c r="M50" i="5"/>
  <c r="J50" i="5"/>
  <c r="I50" i="5" s="1"/>
  <c r="G50" i="5"/>
  <c r="M49" i="5"/>
  <c r="J49" i="5"/>
  <c r="I49" i="5" s="1"/>
  <c r="G49" i="5"/>
  <c r="M48" i="5"/>
  <c r="J48" i="5"/>
  <c r="I48" i="5" s="1"/>
  <c r="G48" i="5"/>
  <c r="M47" i="5"/>
  <c r="H47" i="5"/>
  <c r="G47" i="5" s="1"/>
  <c r="M46" i="5"/>
  <c r="H46" i="5"/>
  <c r="J46" i="5" s="1"/>
  <c r="I46" i="5" s="1"/>
  <c r="G46" i="5"/>
  <c r="M45" i="5"/>
  <c r="H45" i="5"/>
  <c r="G45" i="5" s="1"/>
  <c r="M44" i="5"/>
  <c r="J44" i="5"/>
  <c r="I44" i="5" s="1"/>
  <c r="G44" i="5"/>
  <c r="M43" i="5"/>
  <c r="J43" i="5"/>
  <c r="I43" i="5" s="1"/>
  <c r="G43" i="5"/>
  <c r="M42" i="5"/>
  <c r="H42" i="5"/>
  <c r="J42" i="5" s="1"/>
  <c r="I42" i="5" s="1"/>
  <c r="G42" i="5"/>
  <c r="M41" i="5"/>
  <c r="M56" i="5"/>
  <c r="H41" i="5"/>
  <c r="G41" i="5"/>
  <c r="K36" i="5"/>
  <c r="M35" i="5"/>
  <c r="J35" i="5"/>
  <c r="I35" i="5" s="1"/>
  <c r="G35" i="5"/>
  <c r="M34" i="5"/>
  <c r="J34" i="5"/>
  <c r="I34" i="5" s="1"/>
  <c r="G34" i="5"/>
  <c r="M33" i="5"/>
  <c r="H33" i="5"/>
  <c r="J33" i="5" s="1"/>
  <c r="I33" i="5" s="1"/>
  <c r="M32" i="5"/>
  <c r="H32" i="5"/>
  <c r="G32" i="5"/>
  <c r="M31" i="5"/>
  <c r="J31" i="5"/>
  <c r="I31" i="5" s="1"/>
  <c r="G31" i="5"/>
  <c r="M30" i="5"/>
  <c r="H30" i="5"/>
  <c r="J30" i="5" s="1"/>
  <c r="I30" i="5" s="1"/>
  <c r="M29" i="5"/>
  <c r="H29" i="5"/>
  <c r="G29" i="5"/>
  <c r="M28" i="5"/>
  <c r="H28" i="5"/>
  <c r="J28" i="5" s="1"/>
  <c r="I28" i="5" s="1"/>
  <c r="M27" i="5"/>
  <c r="J27" i="5"/>
  <c r="I27" i="5" s="1"/>
  <c r="G27" i="5"/>
  <c r="M26" i="5"/>
  <c r="J26" i="5"/>
  <c r="I26" i="5" s="1"/>
  <c r="G26" i="5"/>
  <c r="M25" i="5"/>
  <c r="H25" i="5"/>
  <c r="G25" i="5" s="1"/>
  <c r="H24" i="5"/>
  <c r="G24" i="5" s="1"/>
  <c r="M23" i="5"/>
  <c r="H23" i="5"/>
  <c r="J23" i="5" s="1"/>
  <c r="I23" i="5" s="1"/>
  <c r="M22" i="5"/>
  <c r="H22" i="5"/>
  <c r="G22" i="5"/>
  <c r="M21" i="5"/>
  <c r="J21" i="5"/>
  <c r="I21" i="5" s="1"/>
  <c r="G21" i="5"/>
  <c r="M20" i="5"/>
  <c r="M36" i="5" s="1"/>
  <c r="J20" i="5"/>
  <c r="I20" i="5" s="1"/>
  <c r="G20" i="5"/>
  <c r="K13" i="5"/>
  <c r="M7" i="5"/>
  <c r="M13" i="5" s="1"/>
  <c r="R14" i="2" s="1"/>
  <c r="N14" i="2" s="1"/>
  <c r="I7" i="5"/>
  <c r="M14" i="2"/>
  <c r="K14" i="2" s="1"/>
  <c r="K162" i="4"/>
  <c r="M161" i="4"/>
  <c r="J161" i="4"/>
  <c r="I161" i="4" s="1"/>
  <c r="G161" i="4"/>
  <c r="M160" i="4"/>
  <c r="J160" i="4"/>
  <c r="I160" i="4"/>
  <c r="G160" i="4"/>
  <c r="M159" i="4"/>
  <c r="J159" i="4"/>
  <c r="I159" i="4"/>
  <c r="G159" i="4"/>
  <c r="B159" i="4"/>
  <c r="M158" i="4"/>
  <c r="H158" i="4"/>
  <c r="G158" i="4" s="1"/>
  <c r="B158" i="4"/>
  <c r="M157" i="4"/>
  <c r="M162" i="4" s="1"/>
  <c r="H157" i="4"/>
  <c r="G157" i="4" s="1"/>
  <c r="B157" i="4"/>
  <c r="K155" i="4"/>
  <c r="M154" i="4"/>
  <c r="M155" i="4" s="1"/>
  <c r="J154" i="4"/>
  <c r="I154" i="4" s="1"/>
  <c r="G154" i="4"/>
  <c r="H153" i="4"/>
  <c r="J153" i="4" s="1"/>
  <c r="I153" i="4" s="1"/>
  <c r="G153" i="4"/>
  <c r="J152" i="4"/>
  <c r="I152" i="4" s="1"/>
  <c r="G152" i="4"/>
  <c r="J151" i="4"/>
  <c r="I151" i="4" s="1"/>
  <c r="M150" i="4"/>
  <c r="K150" i="4"/>
  <c r="J149" i="4"/>
  <c r="I149" i="4" s="1"/>
  <c r="J148" i="4"/>
  <c r="I148" i="4" s="1"/>
  <c r="G148" i="4"/>
  <c r="G150" i="4" s="1"/>
  <c r="K142" i="4"/>
  <c r="M141" i="4"/>
  <c r="H141" i="4"/>
  <c r="G141" i="4" s="1"/>
  <c r="M140" i="4"/>
  <c r="H140" i="4"/>
  <c r="J140" i="4" s="1"/>
  <c r="I140" i="4" s="1"/>
  <c r="M139" i="4"/>
  <c r="H139" i="4"/>
  <c r="G139" i="4" s="1"/>
  <c r="M138" i="4"/>
  <c r="J138" i="4"/>
  <c r="I138" i="4" s="1"/>
  <c r="G138" i="4"/>
  <c r="M137" i="4"/>
  <c r="J137" i="4"/>
  <c r="I137" i="4" s="1"/>
  <c r="G137" i="4"/>
  <c r="M136" i="4"/>
  <c r="J136" i="4"/>
  <c r="I136" i="4" s="1"/>
  <c r="G136" i="4"/>
  <c r="M135" i="4"/>
  <c r="J135" i="4"/>
  <c r="I135" i="4" s="1"/>
  <c r="G135" i="4"/>
  <c r="M134" i="4"/>
  <c r="J134" i="4"/>
  <c r="I134" i="4" s="1"/>
  <c r="G134" i="4"/>
  <c r="M133" i="4"/>
  <c r="J133" i="4"/>
  <c r="I133" i="4" s="1"/>
  <c r="G133" i="4"/>
  <c r="M132" i="4"/>
  <c r="J132" i="4"/>
  <c r="I132" i="4" s="1"/>
  <c r="G132" i="4"/>
  <c r="M131" i="4"/>
  <c r="J131" i="4"/>
  <c r="I131" i="4" s="1"/>
  <c r="G131" i="4"/>
  <c r="K129" i="4"/>
  <c r="M128" i="4"/>
  <c r="J128" i="4"/>
  <c r="I128" i="4" s="1"/>
  <c r="G128" i="4"/>
  <c r="G129" i="4" s="1"/>
  <c r="M127" i="4"/>
  <c r="J127" i="4"/>
  <c r="I127" i="4" s="1"/>
  <c r="M126" i="4"/>
  <c r="M129" i="4" s="1"/>
  <c r="J126" i="4"/>
  <c r="I126" i="4" s="1"/>
  <c r="K119" i="4"/>
  <c r="M118" i="4"/>
  <c r="H118" i="4"/>
  <c r="J118" i="4" s="1"/>
  <c r="I118" i="4" s="1"/>
  <c r="G118" i="4"/>
  <c r="M117" i="4"/>
  <c r="H117" i="4"/>
  <c r="G117" i="4" s="1"/>
  <c r="M116" i="4"/>
  <c r="H116" i="4"/>
  <c r="J116" i="4" s="1"/>
  <c r="I116" i="4" s="1"/>
  <c r="G116" i="4"/>
  <c r="M115" i="4"/>
  <c r="J115" i="4"/>
  <c r="I115" i="4" s="1"/>
  <c r="G115" i="4"/>
  <c r="M114" i="4"/>
  <c r="J114" i="4"/>
  <c r="I114" i="4" s="1"/>
  <c r="G114" i="4"/>
  <c r="M113" i="4"/>
  <c r="H113" i="4"/>
  <c r="G113" i="4" s="1"/>
  <c r="M112" i="4"/>
  <c r="J112" i="4"/>
  <c r="I112" i="4" s="1"/>
  <c r="G112" i="4"/>
  <c r="M111" i="4"/>
  <c r="J111" i="4"/>
  <c r="I111" i="4" s="1"/>
  <c r="G111" i="4"/>
  <c r="M110" i="4"/>
  <c r="J110" i="4"/>
  <c r="I110" i="4" s="1"/>
  <c r="G110" i="4"/>
  <c r="M109" i="4"/>
  <c r="H109" i="4"/>
  <c r="J109" i="4" s="1"/>
  <c r="I109" i="4" s="1"/>
  <c r="G109" i="4"/>
  <c r="C109" i="4"/>
  <c r="M108" i="4"/>
  <c r="H108" i="4"/>
  <c r="J108" i="4" s="1"/>
  <c r="I108" i="4" s="1"/>
  <c r="G108" i="4"/>
  <c r="M107" i="4"/>
  <c r="J107" i="4"/>
  <c r="I107" i="4" s="1"/>
  <c r="G107" i="4"/>
  <c r="M106" i="4"/>
  <c r="J106" i="4"/>
  <c r="I106" i="4" s="1"/>
  <c r="G106" i="4"/>
  <c r="M105" i="4"/>
  <c r="J105" i="4"/>
  <c r="I105" i="4" s="1"/>
  <c r="G105" i="4"/>
  <c r="M104" i="4"/>
  <c r="H104" i="4"/>
  <c r="G104" i="4" s="1"/>
  <c r="M103" i="4"/>
  <c r="J103" i="4"/>
  <c r="I103" i="4"/>
  <c r="G103" i="4"/>
  <c r="M102" i="4"/>
  <c r="M119" i="4" s="1"/>
  <c r="J102" i="4"/>
  <c r="I102" i="4" s="1"/>
  <c r="G102" i="4"/>
  <c r="K95" i="4"/>
  <c r="M94" i="4"/>
  <c r="M95" i="4" s="1"/>
  <c r="J94" i="4"/>
  <c r="I94" i="4" s="1"/>
  <c r="G94" i="4"/>
  <c r="J93" i="4"/>
  <c r="I93" i="4" s="1"/>
  <c r="G93" i="4"/>
  <c r="J92" i="4"/>
  <c r="I92" i="4"/>
  <c r="G92" i="4"/>
  <c r="G95" i="4"/>
  <c r="K90" i="4"/>
  <c r="M89" i="4"/>
  <c r="J89" i="4"/>
  <c r="I89" i="4"/>
  <c r="G89" i="4"/>
  <c r="M88" i="4"/>
  <c r="J88" i="4"/>
  <c r="I88" i="4"/>
  <c r="G88" i="4"/>
  <c r="M87" i="4"/>
  <c r="J87" i="4"/>
  <c r="I87" i="4"/>
  <c r="G87" i="4"/>
  <c r="M86" i="4"/>
  <c r="J86" i="4"/>
  <c r="I86" i="4"/>
  <c r="G86" i="4"/>
  <c r="M85" i="4"/>
  <c r="M90" i="4" s="1"/>
  <c r="J85" i="4"/>
  <c r="I85" i="4" s="1"/>
  <c r="G85" i="4"/>
  <c r="G90" i="4" s="1"/>
  <c r="K78" i="4"/>
  <c r="M77" i="4"/>
  <c r="J77" i="4"/>
  <c r="I77" i="4" s="1"/>
  <c r="G77" i="4"/>
  <c r="M76" i="4"/>
  <c r="H76" i="4"/>
  <c r="J76" i="4" s="1"/>
  <c r="I76" i="4" s="1"/>
  <c r="M75" i="4"/>
  <c r="J75" i="4"/>
  <c r="I75" i="4" s="1"/>
  <c r="G75" i="4"/>
  <c r="M74" i="4"/>
  <c r="J74" i="4"/>
  <c r="I74" i="4" s="1"/>
  <c r="G74" i="4"/>
  <c r="M73" i="4"/>
  <c r="J73" i="4"/>
  <c r="I73" i="4" s="1"/>
  <c r="G73" i="4"/>
  <c r="M72" i="4"/>
  <c r="J72" i="4"/>
  <c r="I72" i="4" s="1"/>
  <c r="G72" i="4"/>
  <c r="M71" i="4"/>
  <c r="J71" i="4"/>
  <c r="I71" i="4" s="1"/>
  <c r="G71" i="4"/>
  <c r="M70" i="4"/>
  <c r="J70" i="4"/>
  <c r="I70" i="4" s="1"/>
  <c r="G70" i="4"/>
  <c r="M69" i="4"/>
  <c r="J69" i="4"/>
  <c r="I69" i="4" s="1"/>
  <c r="G69" i="4"/>
  <c r="M68" i="4"/>
  <c r="J68" i="4"/>
  <c r="I68" i="4" s="1"/>
  <c r="G68" i="4"/>
  <c r="M67" i="4"/>
  <c r="H67" i="4"/>
  <c r="G67" i="4" s="1"/>
  <c r="K65" i="4"/>
  <c r="M64" i="4"/>
  <c r="J64" i="4"/>
  <c r="I64" i="4" s="1"/>
  <c r="G64" i="4"/>
  <c r="M63" i="4"/>
  <c r="H63" i="4"/>
  <c r="J63" i="4" s="1"/>
  <c r="I63" i="4" s="1"/>
  <c r="J62" i="4"/>
  <c r="I62" i="4" s="1"/>
  <c r="G62" i="4"/>
  <c r="J61" i="4"/>
  <c r="I61" i="4" s="1"/>
  <c r="G61" i="4"/>
  <c r="K54" i="4"/>
  <c r="M53" i="4"/>
  <c r="H53" i="4"/>
  <c r="G53" i="4" s="1"/>
  <c r="M52" i="4"/>
  <c r="H52" i="4"/>
  <c r="J52" i="4" s="1"/>
  <c r="I52" i="4" s="1"/>
  <c r="M51" i="4"/>
  <c r="H51" i="4"/>
  <c r="G51" i="4" s="1"/>
  <c r="M50" i="4"/>
  <c r="J50" i="4"/>
  <c r="I50" i="4" s="1"/>
  <c r="G50" i="4"/>
  <c r="M49" i="4"/>
  <c r="H49" i="4"/>
  <c r="J49" i="4" s="1"/>
  <c r="I49" i="4" s="1"/>
  <c r="M48" i="4"/>
  <c r="J48" i="4"/>
  <c r="I48" i="4" s="1"/>
  <c r="G48" i="4"/>
  <c r="M47" i="4"/>
  <c r="J47" i="4"/>
  <c r="I47" i="4" s="1"/>
  <c r="G47" i="4"/>
  <c r="M46" i="4"/>
  <c r="J46" i="4"/>
  <c r="I46" i="4" s="1"/>
  <c r="G46" i="4"/>
  <c r="M45" i="4"/>
  <c r="H45" i="4"/>
  <c r="G45" i="4" s="1"/>
  <c r="M44" i="4"/>
  <c r="H44" i="4"/>
  <c r="J44" i="4" s="1"/>
  <c r="I44" i="4" s="1"/>
  <c r="G44" i="4"/>
  <c r="M43" i="4"/>
  <c r="H43" i="4"/>
  <c r="G43" i="4" s="1"/>
  <c r="M42" i="4"/>
  <c r="J42" i="4"/>
  <c r="I42" i="4" s="1"/>
  <c r="G42" i="4"/>
  <c r="M41" i="4"/>
  <c r="J41" i="4"/>
  <c r="I41" i="4" s="1"/>
  <c r="G41" i="4"/>
  <c r="M40" i="4"/>
  <c r="H40" i="4"/>
  <c r="J40" i="4" s="1"/>
  <c r="I40" i="4" s="1"/>
  <c r="G40" i="4"/>
  <c r="M39" i="4"/>
  <c r="H39" i="4"/>
  <c r="G39" i="4" s="1"/>
  <c r="K34" i="4"/>
  <c r="M33" i="4"/>
  <c r="J33" i="4"/>
  <c r="I33" i="4" s="1"/>
  <c r="G33" i="4"/>
  <c r="M32" i="4"/>
  <c r="J32" i="4"/>
  <c r="I32" i="4" s="1"/>
  <c r="G32" i="4"/>
  <c r="M31" i="4"/>
  <c r="H31" i="4"/>
  <c r="J31" i="4" s="1"/>
  <c r="I31" i="4" s="1"/>
  <c r="M30" i="4"/>
  <c r="H30" i="4"/>
  <c r="G30" i="4"/>
  <c r="M29" i="4"/>
  <c r="J29" i="4"/>
  <c r="I29" i="4" s="1"/>
  <c r="G29" i="4"/>
  <c r="M28" i="4"/>
  <c r="H28" i="4"/>
  <c r="J28" i="4" s="1"/>
  <c r="I28" i="4" s="1"/>
  <c r="M27" i="4"/>
  <c r="H27" i="4"/>
  <c r="G27" i="4"/>
  <c r="M26" i="4"/>
  <c r="H26" i="4"/>
  <c r="J26" i="4" s="1"/>
  <c r="I26" i="4" s="1"/>
  <c r="M25" i="4"/>
  <c r="J25" i="4"/>
  <c r="I25" i="4" s="1"/>
  <c r="G25" i="4"/>
  <c r="M24" i="4"/>
  <c r="J24" i="4"/>
  <c r="I24" i="4" s="1"/>
  <c r="G24" i="4"/>
  <c r="M23" i="4"/>
  <c r="H23" i="4"/>
  <c r="J23" i="4" s="1"/>
  <c r="I23" i="4" s="1"/>
  <c r="H22" i="4"/>
  <c r="G22" i="4" s="1"/>
  <c r="M21" i="4"/>
  <c r="H21" i="4"/>
  <c r="J21" i="4" s="1"/>
  <c r="I21" i="4" s="1"/>
  <c r="M20" i="4"/>
  <c r="H20" i="4"/>
  <c r="J20" i="4" s="1"/>
  <c r="I20" i="4" s="1"/>
  <c r="M19" i="4"/>
  <c r="J19" i="4"/>
  <c r="I19" i="4" s="1"/>
  <c r="G19" i="4"/>
  <c r="M18" i="4"/>
  <c r="J18" i="4"/>
  <c r="I18" i="4" s="1"/>
  <c r="G18" i="4"/>
  <c r="K11" i="4"/>
  <c r="M6" i="4"/>
  <c r="I6" i="4"/>
  <c r="I11" i="4" s="1"/>
  <c r="M13" i="2" s="1"/>
  <c r="K13" i="2" s="1"/>
  <c r="K170" i="3"/>
  <c r="M169" i="3"/>
  <c r="J169" i="3"/>
  <c r="I169" i="3" s="1"/>
  <c r="G169" i="3"/>
  <c r="M168" i="3"/>
  <c r="J168" i="3"/>
  <c r="I168" i="3" s="1"/>
  <c r="G168" i="3"/>
  <c r="M167" i="3"/>
  <c r="J167" i="3"/>
  <c r="I167" i="3" s="1"/>
  <c r="G167" i="3"/>
  <c r="B167" i="3"/>
  <c r="M166" i="3"/>
  <c r="H166" i="3"/>
  <c r="G166" i="3"/>
  <c r="G170" i="3" s="1"/>
  <c r="B166" i="3"/>
  <c r="M165" i="3"/>
  <c r="M170" i="3" s="1"/>
  <c r="H165" i="3"/>
  <c r="G165" i="3" s="1"/>
  <c r="B165" i="3"/>
  <c r="K163" i="3"/>
  <c r="M162" i="3"/>
  <c r="M163" i="3" s="1"/>
  <c r="J162" i="3"/>
  <c r="I162" i="3" s="1"/>
  <c r="G162" i="3"/>
  <c r="H161" i="3"/>
  <c r="J161" i="3"/>
  <c r="I161" i="3" s="1"/>
  <c r="G161" i="3"/>
  <c r="J160" i="3"/>
  <c r="I160" i="3" s="1"/>
  <c r="G160" i="3"/>
  <c r="J159" i="3"/>
  <c r="I159" i="3" s="1"/>
  <c r="I163" i="3" s="1"/>
  <c r="M158" i="3"/>
  <c r="K158" i="3"/>
  <c r="J157" i="3"/>
  <c r="I157" i="3" s="1"/>
  <c r="J156" i="3"/>
  <c r="I156" i="3" s="1"/>
  <c r="G156" i="3"/>
  <c r="G158" i="3" s="1"/>
  <c r="K150" i="3"/>
  <c r="M149" i="3"/>
  <c r="H149" i="3"/>
  <c r="G149" i="3" s="1"/>
  <c r="M148" i="3"/>
  <c r="H148" i="3"/>
  <c r="J148" i="3" s="1"/>
  <c r="I148" i="3" s="1"/>
  <c r="M147" i="3"/>
  <c r="H147" i="3"/>
  <c r="G147" i="3" s="1"/>
  <c r="M146" i="3"/>
  <c r="J146" i="3"/>
  <c r="I146" i="3" s="1"/>
  <c r="G146" i="3"/>
  <c r="M145" i="3"/>
  <c r="J145" i="3"/>
  <c r="I145" i="3" s="1"/>
  <c r="G145" i="3"/>
  <c r="M144" i="3"/>
  <c r="J144" i="3"/>
  <c r="I144" i="3" s="1"/>
  <c r="G144" i="3"/>
  <c r="M143" i="3"/>
  <c r="J143" i="3"/>
  <c r="I143" i="3" s="1"/>
  <c r="G143" i="3"/>
  <c r="M142" i="3"/>
  <c r="J142" i="3"/>
  <c r="I142" i="3" s="1"/>
  <c r="G142" i="3"/>
  <c r="M141" i="3"/>
  <c r="J141" i="3"/>
  <c r="I141" i="3" s="1"/>
  <c r="G141" i="3"/>
  <c r="M140" i="3"/>
  <c r="J140" i="3"/>
  <c r="I140" i="3" s="1"/>
  <c r="G140" i="3"/>
  <c r="M139" i="3"/>
  <c r="J139" i="3"/>
  <c r="I139" i="3" s="1"/>
  <c r="G139" i="3"/>
  <c r="K137" i="3"/>
  <c r="M136" i="3"/>
  <c r="J136" i="3"/>
  <c r="I136" i="3" s="1"/>
  <c r="G136" i="3"/>
  <c r="G137" i="3" s="1"/>
  <c r="M135" i="3"/>
  <c r="J135" i="3"/>
  <c r="I135" i="3" s="1"/>
  <c r="M134" i="3"/>
  <c r="J134" i="3"/>
  <c r="I134" i="3" s="1"/>
  <c r="K127" i="3"/>
  <c r="M126" i="3"/>
  <c r="H126" i="3"/>
  <c r="J126" i="3" s="1"/>
  <c r="I126" i="3" s="1"/>
  <c r="M125" i="3"/>
  <c r="H125" i="3"/>
  <c r="J125" i="3" s="1"/>
  <c r="I125" i="3" s="1"/>
  <c r="M124" i="3"/>
  <c r="H124" i="3"/>
  <c r="J124" i="3" s="1"/>
  <c r="I124" i="3" s="1"/>
  <c r="M123" i="3"/>
  <c r="J123" i="3"/>
  <c r="I123" i="3" s="1"/>
  <c r="G123" i="3"/>
  <c r="M122" i="3"/>
  <c r="J122" i="3"/>
  <c r="I122" i="3" s="1"/>
  <c r="G122" i="3"/>
  <c r="M121" i="3"/>
  <c r="H121" i="3"/>
  <c r="J121" i="3" s="1"/>
  <c r="I121" i="3" s="1"/>
  <c r="G121" i="3"/>
  <c r="M120" i="3"/>
  <c r="J120" i="3"/>
  <c r="I120" i="3" s="1"/>
  <c r="G120" i="3"/>
  <c r="M119" i="3"/>
  <c r="J119" i="3"/>
  <c r="I119" i="3" s="1"/>
  <c r="G119" i="3"/>
  <c r="M118" i="3"/>
  <c r="J118" i="3"/>
  <c r="I118" i="3" s="1"/>
  <c r="G118" i="3"/>
  <c r="M117" i="3"/>
  <c r="H117" i="3"/>
  <c r="J117" i="3" s="1"/>
  <c r="I117" i="3" s="1"/>
  <c r="C117" i="3"/>
  <c r="M116" i="3"/>
  <c r="H116" i="3"/>
  <c r="J116" i="3" s="1"/>
  <c r="I116" i="3" s="1"/>
  <c r="M115" i="3"/>
  <c r="J115" i="3"/>
  <c r="I115" i="3" s="1"/>
  <c r="G115" i="3"/>
  <c r="M114" i="3"/>
  <c r="J114" i="3"/>
  <c r="I114" i="3" s="1"/>
  <c r="G114" i="3"/>
  <c r="M113" i="3"/>
  <c r="J113" i="3"/>
  <c r="I113" i="3" s="1"/>
  <c r="G113" i="3"/>
  <c r="M112" i="3"/>
  <c r="H112" i="3"/>
  <c r="G112" i="3" s="1"/>
  <c r="M111" i="3"/>
  <c r="J111" i="3"/>
  <c r="I111" i="3" s="1"/>
  <c r="G111" i="3"/>
  <c r="M110" i="3"/>
  <c r="J110" i="3"/>
  <c r="I110" i="3" s="1"/>
  <c r="G110" i="3"/>
  <c r="K103" i="3"/>
  <c r="M102" i="3"/>
  <c r="M103" i="3" s="1"/>
  <c r="J102" i="3"/>
  <c r="I102" i="3" s="1"/>
  <c r="G102" i="3"/>
  <c r="J101" i="3"/>
  <c r="I101" i="3" s="1"/>
  <c r="G101" i="3"/>
  <c r="J100" i="3"/>
  <c r="I100" i="3" s="1"/>
  <c r="G100" i="3"/>
  <c r="G103" i="3" s="1"/>
  <c r="K98" i="3"/>
  <c r="M97" i="3"/>
  <c r="J97" i="3"/>
  <c r="I97" i="3" s="1"/>
  <c r="G97" i="3"/>
  <c r="M96" i="3"/>
  <c r="J96" i="3"/>
  <c r="I96" i="3" s="1"/>
  <c r="G96" i="3"/>
  <c r="M95" i="3"/>
  <c r="J95" i="3"/>
  <c r="I95" i="3" s="1"/>
  <c r="G95" i="3"/>
  <c r="M94" i="3"/>
  <c r="J94" i="3"/>
  <c r="I94" i="3" s="1"/>
  <c r="G94" i="3"/>
  <c r="M93" i="3"/>
  <c r="J93" i="3"/>
  <c r="I93" i="3" s="1"/>
  <c r="I98" i="3" s="1"/>
  <c r="G93" i="3"/>
  <c r="K86" i="3"/>
  <c r="M85" i="3"/>
  <c r="J85" i="3"/>
  <c r="I85" i="3" s="1"/>
  <c r="G85" i="3"/>
  <c r="M84" i="3"/>
  <c r="H84" i="3"/>
  <c r="J84" i="3" s="1"/>
  <c r="I84" i="3" s="1"/>
  <c r="M83" i="3"/>
  <c r="J83" i="3"/>
  <c r="I83" i="3" s="1"/>
  <c r="G83" i="3"/>
  <c r="M82" i="3"/>
  <c r="J82" i="3"/>
  <c r="I82" i="3" s="1"/>
  <c r="G82" i="3"/>
  <c r="M81" i="3"/>
  <c r="J81" i="3"/>
  <c r="I81" i="3" s="1"/>
  <c r="G81" i="3"/>
  <c r="M80" i="3"/>
  <c r="J80" i="3"/>
  <c r="I80" i="3" s="1"/>
  <c r="G80" i="3"/>
  <c r="M79" i="3"/>
  <c r="J79" i="3"/>
  <c r="I79" i="3" s="1"/>
  <c r="G79" i="3"/>
  <c r="M78" i="3"/>
  <c r="J78" i="3"/>
  <c r="I78" i="3" s="1"/>
  <c r="G78" i="3"/>
  <c r="M77" i="3"/>
  <c r="J77" i="3"/>
  <c r="I77" i="3" s="1"/>
  <c r="G77" i="3"/>
  <c r="M76" i="3"/>
  <c r="J76" i="3"/>
  <c r="I76" i="3" s="1"/>
  <c r="G76" i="3"/>
  <c r="M75" i="3"/>
  <c r="H75" i="3"/>
  <c r="J75" i="3" s="1"/>
  <c r="I75" i="3" s="1"/>
  <c r="K73" i="3"/>
  <c r="M72" i="3"/>
  <c r="J72" i="3"/>
  <c r="I72" i="3" s="1"/>
  <c r="G72" i="3"/>
  <c r="M71" i="3"/>
  <c r="M73" i="3" s="1"/>
  <c r="H71" i="3"/>
  <c r="J71" i="3" s="1"/>
  <c r="I71" i="3" s="1"/>
  <c r="J70" i="3"/>
  <c r="I70" i="3" s="1"/>
  <c r="G70" i="3"/>
  <c r="J69" i="3"/>
  <c r="I69" i="3" s="1"/>
  <c r="G69" i="3"/>
  <c r="K62" i="3"/>
  <c r="M61" i="3"/>
  <c r="H61" i="3"/>
  <c r="G61" i="3" s="1"/>
  <c r="M60" i="3"/>
  <c r="H60" i="3"/>
  <c r="J60" i="3" s="1"/>
  <c r="I60" i="3" s="1"/>
  <c r="M59" i="3"/>
  <c r="H59" i="3"/>
  <c r="G59" i="3" s="1"/>
  <c r="M58" i="3"/>
  <c r="J58" i="3"/>
  <c r="I58" i="3" s="1"/>
  <c r="G58" i="3"/>
  <c r="M57" i="3"/>
  <c r="H57" i="3"/>
  <c r="J57" i="3" s="1"/>
  <c r="I57" i="3" s="1"/>
  <c r="M56" i="3"/>
  <c r="J56" i="3"/>
  <c r="I56" i="3" s="1"/>
  <c r="G56" i="3"/>
  <c r="M55" i="3"/>
  <c r="J55" i="3"/>
  <c r="I55" i="3" s="1"/>
  <c r="G55" i="3"/>
  <c r="M54" i="3"/>
  <c r="J54" i="3"/>
  <c r="I54" i="3" s="1"/>
  <c r="G54" i="3"/>
  <c r="M53" i="3"/>
  <c r="H53" i="3"/>
  <c r="G53" i="3" s="1"/>
  <c r="M52" i="3"/>
  <c r="H52" i="3"/>
  <c r="J52" i="3" s="1"/>
  <c r="I52" i="3" s="1"/>
  <c r="M51" i="3"/>
  <c r="H51" i="3"/>
  <c r="G51" i="3" s="1"/>
  <c r="M50" i="3"/>
  <c r="J50" i="3"/>
  <c r="I50" i="3" s="1"/>
  <c r="G50" i="3"/>
  <c r="M49" i="3"/>
  <c r="J49" i="3"/>
  <c r="I49" i="3" s="1"/>
  <c r="G49" i="3"/>
  <c r="M48" i="3"/>
  <c r="H48" i="3"/>
  <c r="J48" i="3" s="1"/>
  <c r="I48" i="3" s="1"/>
  <c r="M47" i="3"/>
  <c r="H47" i="3"/>
  <c r="G47" i="3" s="1"/>
  <c r="K42" i="3"/>
  <c r="M41" i="3"/>
  <c r="J41" i="3"/>
  <c r="I41" i="3" s="1"/>
  <c r="G41" i="3"/>
  <c r="M40" i="3"/>
  <c r="J40" i="3"/>
  <c r="I40" i="3" s="1"/>
  <c r="G40" i="3"/>
  <c r="M39" i="3"/>
  <c r="H39" i="3"/>
  <c r="J39" i="3" s="1"/>
  <c r="I39" i="3" s="1"/>
  <c r="M38" i="3"/>
  <c r="H38" i="3"/>
  <c r="J38" i="3" s="1"/>
  <c r="I38" i="3" s="1"/>
  <c r="M37" i="3"/>
  <c r="J37" i="3"/>
  <c r="I37" i="3" s="1"/>
  <c r="G37" i="3"/>
  <c r="M36" i="3"/>
  <c r="H36" i="3"/>
  <c r="J36" i="3" s="1"/>
  <c r="I36" i="3" s="1"/>
  <c r="M35" i="3"/>
  <c r="H35" i="3"/>
  <c r="G35" i="3" s="1"/>
  <c r="M34" i="3"/>
  <c r="H34" i="3"/>
  <c r="J34" i="3" s="1"/>
  <c r="I34" i="3" s="1"/>
  <c r="G34" i="3"/>
  <c r="M33" i="3"/>
  <c r="J33" i="3"/>
  <c r="I33" i="3" s="1"/>
  <c r="G33" i="3"/>
  <c r="M32" i="3"/>
  <c r="J32" i="3"/>
  <c r="I32" i="3" s="1"/>
  <c r="G32" i="3"/>
  <c r="M31" i="3"/>
  <c r="H31" i="3"/>
  <c r="J31" i="3" s="1"/>
  <c r="I31" i="3" s="1"/>
  <c r="H30" i="3"/>
  <c r="G30" i="3" s="1"/>
  <c r="M29" i="3"/>
  <c r="H29" i="3"/>
  <c r="J29" i="3" s="1"/>
  <c r="I29" i="3" s="1"/>
  <c r="M28" i="3"/>
  <c r="H28" i="3"/>
  <c r="J28" i="3" s="1"/>
  <c r="I28" i="3" s="1"/>
  <c r="G28" i="3"/>
  <c r="M27" i="3"/>
  <c r="J27" i="3"/>
  <c r="I27" i="3" s="1"/>
  <c r="G27" i="3"/>
  <c r="M26" i="3"/>
  <c r="M42" i="3" s="1"/>
  <c r="J26" i="3"/>
  <c r="I26" i="3" s="1"/>
  <c r="G26" i="3"/>
  <c r="K19" i="3"/>
  <c r="M10" i="3"/>
  <c r="I10" i="3"/>
  <c r="M8" i="3"/>
  <c r="I8" i="3"/>
  <c r="M7" i="3"/>
  <c r="J159" i="1"/>
  <c r="I159" i="1" s="1"/>
  <c r="J160" i="1"/>
  <c r="I160" i="1" s="1"/>
  <c r="J161" i="1"/>
  <c r="I161" i="1" s="1"/>
  <c r="J152" i="1"/>
  <c r="I152" i="1" s="1"/>
  <c r="J154" i="1"/>
  <c r="I154" i="1" s="1"/>
  <c r="J151" i="1"/>
  <c r="I151" i="1" s="1"/>
  <c r="J149" i="1"/>
  <c r="I149" i="1" s="1"/>
  <c r="J148" i="1"/>
  <c r="I148" i="1" s="1"/>
  <c r="J132" i="1"/>
  <c r="I132" i="1" s="1"/>
  <c r="J133" i="1"/>
  <c r="I133" i="1" s="1"/>
  <c r="J134" i="1"/>
  <c r="I134" i="1" s="1"/>
  <c r="J135" i="1"/>
  <c r="I135" i="1" s="1"/>
  <c r="J136" i="1"/>
  <c r="I136" i="1" s="1"/>
  <c r="J137" i="1"/>
  <c r="I137" i="1" s="1"/>
  <c r="J138" i="1"/>
  <c r="I138" i="1" s="1"/>
  <c r="J127" i="1"/>
  <c r="I127" i="1" s="1"/>
  <c r="J128" i="1"/>
  <c r="I128" i="1" s="1"/>
  <c r="J131" i="1"/>
  <c r="I131" i="1" s="1"/>
  <c r="J126" i="1"/>
  <c r="I126" i="1" s="1"/>
  <c r="I129" i="1" s="1"/>
  <c r="J103" i="1"/>
  <c r="I103" i="1" s="1"/>
  <c r="J105" i="1"/>
  <c r="I105" i="1" s="1"/>
  <c r="J106" i="1"/>
  <c r="I106" i="1" s="1"/>
  <c r="J107" i="1"/>
  <c r="I107" i="1" s="1"/>
  <c r="J110" i="1"/>
  <c r="I110" i="1" s="1"/>
  <c r="J111" i="1"/>
  <c r="I111" i="1" s="1"/>
  <c r="J112" i="1"/>
  <c r="I112" i="1" s="1"/>
  <c r="J114" i="1"/>
  <c r="I114" i="1" s="1"/>
  <c r="J115" i="1"/>
  <c r="I115" i="1" s="1"/>
  <c r="J102" i="1"/>
  <c r="I102" i="1" s="1"/>
  <c r="J93" i="1"/>
  <c r="I93" i="1" s="1"/>
  <c r="J94" i="1"/>
  <c r="I94" i="1" s="1"/>
  <c r="I95" i="1" s="1"/>
  <c r="J92" i="1"/>
  <c r="I92" i="1" s="1"/>
  <c r="J86" i="1"/>
  <c r="I86" i="1" s="1"/>
  <c r="J87" i="1"/>
  <c r="I87" i="1" s="1"/>
  <c r="J88" i="1"/>
  <c r="I88" i="1" s="1"/>
  <c r="J89" i="1"/>
  <c r="I89" i="1" s="1"/>
  <c r="J85" i="1"/>
  <c r="I85" i="1" s="1"/>
  <c r="I90" i="1" s="1"/>
  <c r="J68" i="1"/>
  <c r="I68" i="1" s="1"/>
  <c r="J69" i="1"/>
  <c r="I69" i="1" s="1"/>
  <c r="J70" i="1"/>
  <c r="I70" i="1" s="1"/>
  <c r="J71" i="1"/>
  <c r="I71" i="1" s="1"/>
  <c r="J72" i="1"/>
  <c r="I72" i="1" s="1"/>
  <c r="J73" i="1"/>
  <c r="I73" i="1" s="1"/>
  <c r="J74" i="1"/>
  <c r="I74" i="1" s="1"/>
  <c r="J75" i="1"/>
  <c r="I75" i="1" s="1"/>
  <c r="J77" i="1"/>
  <c r="I77" i="1" s="1"/>
  <c r="J62" i="1"/>
  <c r="I62" i="1" s="1"/>
  <c r="J64" i="1"/>
  <c r="I64" i="1" s="1"/>
  <c r="J61" i="1"/>
  <c r="I61" i="1" s="1"/>
  <c r="J41" i="1"/>
  <c r="I41" i="1" s="1"/>
  <c r="J42" i="1"/>
  <c r="I42" i="1" s="1"/>
  <c r="J46" i="1"/>
  <c r="I46" i="1" s="1"/>
  <c r="J47" i="1"/>
  <c r="I47" i="1" s="1"/>
  <c r="J48" i="1"/>
  <c r="I48" i="1" s="1"/>
  <c r="J50" i="1"/>
  <c r="I50" i="1" s="1"/>
  <c r="J33" i="1"/>
  <c r="J19" i="1"/>
  <c r="I19" i="1" s="1"/>
  <c r="J24" i="1"/>
  <c r="I24" i="1" s="1"/>
  <c r="J25" i="1"/>
  <c r="I25" i="1" s="1"/>
  <c r="J29" i="1"/>
  <c r="I29" i="1" s="1"/>
  <c r="J32" i="1"/>
  <c r="I32" i="1" s="1"/>
  <c r="I33" i="1"/>
  <c r="J18" i="1"/>
  <c r="I18" i="1"/>
  <c r="I7" i="1"/>
  <c r="I10" i="1"/>
  <c r="G87" i="1"/>
  <c r="H158" i="1"/>
  <c r="J158" i="1" s="1"/>
  <c r="I158" i="1" s="1"/>
  <c r="H157" i="1"/>
  <c r="J157" i="1"/>
  <c r="I157" i="1" s="1"/>
  <c r="H118" i="1"/>
  <c r="J118" i="1"/>
  <c r="I118" i="1" s="1"/>
  <c r="H117" i="1"/>
  <c r="J117" i="1" s="1"/>
  <c r="I117" i="1" s="1"/>
  <c r="H116" i="1"/>
  <c r="J116" i="1" s="1"/>
  <c r="I116" i="1" s="1"/>
  <c r="H113" i="1"/>
  <c r="J113" i="1" s="1"/>
  <c r="I113" i="1" s="1"/>
  <c r="H104" i="1"/>
  <c r="J104" i="1" s="1"/>
  <c r="I104" i="1" s="1"/>
  <c r="I119" i="1" s="1"/>
  <c r="H109" i="1"/>
  <c r="J109" i="1" s="1"/>
  <c r="I109" i="1" s="1"/>
  <c r="H108" i="1"/>
  <c r="J108" i="1" s="1"/>
  <c r="I108" i="1" s="1"/>
  <c r="G128" i="1"/>
  <c r="C109" i="1"/>
  <c r="H51" i="1"/>
  <c r="J51" i="1" s="1"/>
  <c r="I51" i="1" s="1"/>
  <c r="H52" i="1"/>
  <c r="J52" i="1" s="1"/>
  <c r="I52" i="1" s="1"/>
  <c r="H53" i="1"/>
  <c r="J53" i="1" s="1"/>
  <c r="I53" i="1" s="1"/>
  <c r="G32" i="1"/>
  <c r="G148" i="1"/>
  <c r="G150" i="1" s="1"/>
  <c r="J20" i="2" s="1"/>
  <c r="H20" i="2" s="1"/>
  <c r="H31" i="1"/>
  <c r="J31" i="1" s="1"/>
  <c r="I31" i="1" s="1"/>
  <c r="H39" i="1"/>
  <c r="J39" i="1" s="1"/>
  <c r="I39" i="1" s="1"/>
  <c r="G161" i="1"/>
  <c r="G154" i="1"/>
  <c r="G152" i="1"/>
  <c r="G131" i="1"/>
  <c r="G142" i="1" s="1"/>
  <c r="G132" i="1"/>
  <c r="G133" i="1"/>
  <c r="G134" i="1"/>
  <c r="G135" i="1"/>
  <c r="G136" i="1"/>
  <c r="G137" i="1"/>
  <c r="G138" i="1"/>
  <c r="G108" i="1"/>
  <c r="G103" i="1"/>
  <c r="G105" i="1"/>
  <c r="G106" i="1"/>
  <c r="G107" i="1"/>
  <c r="G110" i="1"/>
  <c r="G111" i="1"/>
  <c r="G112" i="1"/>
  <c r="G114" i="1"/>
  <c r="G115" i="1"/>
  <c r="G102" i="1"/>
  <c r="G93" i="1"/>
  <c r="G94" i="1"/>
  <c r="G95" i="1" s="1"/>
  <c r="J18" i="2" s="1"/>
  <c r="H18" i="2" s="1"/>
  <c r="G92" i="1"/>
  <c r="G85" i="1"/>
  <c r="G86" i="1"/>
  <c r="G88" i="1"/>
  <c r="G89" i="1"/>
  <c r="G68" i="1"/>
  <c r="G69" i="1"/>
  <c r="G70" i="1"/>
  <c r="G71" i="1"/>
  <c r="G72" i="1"/>
  <c r="G73" i="1"/>
  <c r="G74" i="1"/>
  <c r="G75" i="1"/>
  <c r="G77" i="1"/>
  <c r="G62" i="1"/>
  <c r="G64" i="1"/>
  <c r="G61" i="1"/>
  <c r="G41" i="1"/>
  <c r="G42" i="1"/>
  <c r="G46" i="1"/>
  <c r="G47" i="1"/>
  <c r="G48" i="1"/>
  <c r="G50" i="1"/>
  <c r="G52" i="1"/>
  <c r="G18" i="1"/>
  <c r="G19" i="1"/>
  <c r="G24" i="1"/>
  <c r="G25" i="1"/>
  <c r="G29" i="1"/>
  <c r="G31" i="1"/>
  <c r="G33" i="1"/>
  <c r="G160" i="1"/>
  <c r="G159" i="1"/>
  <c r="G158" i="1"/>
  <c r="G157" i="1"/>
  <c r="B159" i="1"/>
  <c r="B158" i="1"/>
  <c r="B157" i="1"/>
  <c r="H153" i="1"/>
  <c r="G153" i="1" s="1"/>
  <c r="H141" i="1"/>
  <c r="G141" i="1" s="1"/>
  <c r="H140" i="1"/>
  <c r="G140" i="1" s="1"/>
  <c r="H139" i="1"/>
  <c r="G139" i="1" s="1"/>
  <c r="G118" i="1"/>
  <c r="G117" i="1"/>
  <c r="G104" i="1"/>
  <c r="H76" i="1"/>
  <c r="G76" i="1" s="1"/>
  <c r="H63" i="1"/>
  <c r="G63" i="1" s="1"/>
  <c r="H67" i="1"/>
  <c r="G67" i="1" s="1"/>
  <c r="G78" i="1" s="1"/>
  <c r="J15" i="2" s="1"/>
  <c r="H15" i="2" s="1"/>
  <c r="H49" i="1"/>
  <c r="G49" i="1"/>
  <c r="H45" i="1"/>
  <c r="G45" i="1"/>
  <c r="H44" i="1"/>
  <c r="J44" i="1"/>
  <c r="I44" i="1" s="1"/>
  <c r="H43" i="1"/>
  <c r="G43" i="1" s="1"/>
  <c r="H40" i="1"/>
  <c r="J40" i="1" s="1"/>
  <c r="I40" i="1" s="1"/>
  <c r="H30" i="1"/>
  <c r="G30" i="1"/>
  <c r="H28" i="1"/>
  <c r="G28" i="1"/>
  <c r="H27" i="1"/>
  <c r="J27" i="1"/>
  <c r="I27" i="1" s="1"/>
  <c r="H26" i="1"/>
  <c r="G26" i="1" s="1"/>
  <c r="H23" i="1"/>
  <c r="J23" i="1" s="1"/>
  <c r="I23" i="1" s="1"/>
  <c r="H22" i="1"/>
  <c r="G22" i="1"/>
  <c r="H21" i="1"/>
  <c r="J21" i="1"/>
  <c r="I21" i="1" s="1"/>
  <c r="H20" i="1"/>
  <c r="G20" i="1" s="1"/>
  <c r="M135" i="1"/>
  <c r="M47" i="1"/>
  <c r="M48" i="1"/>
  <c r="M138" i="1"/>
  <c r="M137" i="1"/>
  <c r="M20" i="1"/>
  <c r="M158" i="1"/>
  <c r="M159" i="1"/>
  <c r="M160" i="1"/>
  <c r="M161" i="1"/>
  <c r="M157" i="1"/>
  <c r="M162" i="1" s="1"/>
  <c r="M154" i="1"/>
  <c r="M155" i="1" s="1"/>
  <c r="M131" i="1"/>
  <c r="M132" i="1"/>
  <c r="M133" i="1"/>
  <c r="M134" i="1"/>
  <c r="M136" i="1"/>
  <c r="M139" i="1"/>
  <c r="M140" i="1"/>
  <c r="M141" i="1"/>
  <c r="M127" i="1"/>
  <c r="M128" i="1"/>
  <c r="M126" i="1"/>
  <c r="M103" i="1"/>
  <c r="M104" i="1"/>
  <c r="M105" i="1"/>
  <c r="M106" i="1"/>
  <c r="M107" i="1"/>
  <c r="M108" i="1"/>
  <c r="M109" i="1"/>
  <c r="M110" i="1"/>
  <c r="M111" i="1"/>
  <c r="M112" i="1"/>
  <c r="M113" i="1"/>
  <c r="M114" i="1"/>
  <c r="M115" i="1"/>
  <c r="M116" i="1"/>
  <c r="M117" i="1"/>
  <c r="M118" i="1"/>
  <c r="M102" i="1"/>
  <c r="M94" i="1"/>
  <c r="M95" i="1" s="1"/>
  <c r="M85" i="1"/>
  <c r="M86" i="1"/>
  <c r="M87" i="1"/>
  <c r="M88" i="1"/>
  <c r="M89" i="1"/>
  <c r="M68" i="1"/>
  <c r="M69" i="1"/>
  <c r="M70" i="1"/>
  <c r="M71" i="1"/>
  <c r="M72" i="1"/>
  <c r="M73" i="1"/>
  <c r="M74" i="1"/>
  <c r="M75" i="1"/>
  <c r="M76" i="1"/>
  <c r="M77" i="1"/>
  <c r="M67" i="1"/>
  <c r="M64" i="1"/>
  <c r="M63" i="1"/>
  <c r="M65" i="1" s="1"/>
  <c r="M40" i="1"/>
  <c r="M41" i="1"/>
  <c r="M42" i="1"/>
  <c r="M43" i="1"/>
  <c r="M44" i="1"/>
  <c r="M45" i="1"/>
  <c r="M46" i="1"/>
  <c r="M49" i="1"/>
  <c r="M50" i="1"/>
  <c r="M51" i="1"/>
  <c r="M52" i="1"/>
  <c r="M53" i="1"/>
  <c r="M39" i="1"/>
  <c r="M7" i="1"/>
  <c r="M10" i="1"/>
  <c r="M6" i="1"/>
  <c r="M18" i="1"/>
  <c r="M19" i="1"/>
  <c r="M21" i="1"/>
  <c r="M23" i="1"/>
  <c r="M24" i="1"/>
  <c r="M25" i="1"/>
  <c r="M26" i="1"/>
  <c r="M27" i="1"/>
  <c r="M28" i="1"/>
  <c r="M29" i="1"/>
  <c r="M30" i="1"/>
  <c r="M31" i="1"/>
  <c r="M32" i="1"/>
  <c r="M33" i="1"/>
  <c r="K24" i="2"/>
  <c r="H24" i="2" s="1"/>
  <c r="J14" i="2"/>
  <c r="H14" i="2" s="1"/>
  <c r="M24" i="2"/>
  <c r="J24" i="2" s="1"/>
  <c r="E25" i="2"/>
  <c r="K11" i="1"/>
  <c r="K65" i="1"/>
  <c r="K90" i="1"/>
  <c r="K129" i="1"/>
  <c r="K142" i="1"/>
  <c r="K150" i="1"/>
  <c r="K155" i="1"/>
  <c r="K162" i="1"/>
  <c r="K95" i="1"/>
  <c r="K54" i="1"/>
  <c r="M150" i="1"/>
  <c r="K78" i="1"/>
  <c r="K34" i="1"/>
  <c r="K119" i="1"/>
  <c r="J17" i="2"/>
  <c r="H17" i="2" s="1"/>
  <c r="J10" i="2"/>
  <c r="H10" i="2" s="1"/>
  <c r="H23" i="2" s="1"/>
  <c r="G129" i="1"/>
  <c r="G162" i="1"/>
  <c r="J21" i="2" s="1"/>
  <c r="H21" i="2" s="1"/>
  <c r="G90" i="1"/>
  <c r="I155" i="14"/>
  <c r="G26" i="14"/>
  <c r="J27" i="14"/>
  <c r="I27" i="14" s="1"/>
  <c r="G31" i="14"/>
  <c r="G36" i="14"/>
  <c r="J48" i="14"/>
  <c r="I48" i="14" s="1"/>
  <c r="J50" i="14"/>
  <c r="I50" i="14" s="1"/>
  <c r="J56" i="14"/>
  <c r="I56" i="14" s="1"/>
  <c r="J58" i="14"/>
  <c r="I58" i="14" s="1"/>
  <c r="J72" i="14"/>
  <c r="I72" i="14" s="1"/>
  <c r="J109" i="14"/>
  <c r="I109" i="14" s="1"/>
  <c r="G114" i="14"/>
  <c r="J122" i="14"/>
  <c r="I122" i="14" s="1"/>
  <c r="G123" i="14"/>
  <c r="J144" i="14"/>
  <c r="I144" i="14" s="1"/>
  <c r="J146" i="14"/>
  <c r="I146" i="14" s="1"/>
  <c r="J162" i="14"/>
  <c r="I162" i="14" s="1"/>
  <c r="R21" i="2"/>
  <c r="N21" i="2" s="1"/>
  <c r="G22" i="13"/>
  <c r="J24" i="13"/>
  <c r="I24" i="13" s="1"/>
  <c r="J28" i="13"/>
  <c r="I28" i="13" s="1"/>
  <c r="G29" i="13"/>
  <c r="J31" i="13"/>
  <c r="I31" i="13" s="1"/>
  <c r="G32" i="13"/>
  <c r="J44" i="13"/>
  <c r="I44" i="13" s="1"/>
  <c r="J52" i="13"/>
  <c r="I52" i="13" s="1"/>
  <c r="G64" i="13"/>
  <c r="G66" i="13" s="1"/>
  <c r="G77" i="13"/>
  <c r="G79" i="13" s="1"/>
  <c r="G109" i="13"/>
  <c r="G119" i="13"/>
  <c r="J140" i="13"/>
  <c r="I140" i="13" s="1"/>
  <c r="J142" i="13"/>
  <c r="I142" i="13"/>
  <c r="J159" i="13"/>
  <c r="I159" i="13"/>
  <c r="I96" i="12"/>
  <c r="G27" i="12"/>
  <c r="G32" i="12"/>
  <c r="J36" i="12"/>
  <c r="I36" i="12" s="1"/>
  <c r="G37" i="12"/>
  <c r="J45" i="12"/>
  <c r="I45" i="12" s="1"/>
  <c r="J49" i="12"/>
  <c r="I49" i="12" s="1"/>
  <c r="J51" i="12"/>
  <c r="I51" i="12" s="1"/>
  <c r="J57" i="12"/>
  <c r="I57" i="12" s="1"/>
  <c r="J59" i="12"/>
  <c r="I59" i="12" s="1"/>
  <c r="G82" i="12"/>
  <c r="G84" i="12" s="1"/>
  <c r="J119" i="12"/>
  <c r="I119" i="12" s="1"/>
  <c r="J123" i="12"/>
  <c r="I123" i="12" s="1"/>
  <c r="J145" i="12"/>
  <c r="I145" i="12" s="1"/>
  <c r="I92" i="10"/>
  <c r="G35" i="10"/>
  <c r="G40" i="10"/>
  <c r="G45" i="10"/>
  <c r="J57" i="10"/>
  <c r="I57" i="10"/>
  <c r="J59" i="10"/>
  <c r="I59" i="10"/>
  <c r="J65" i="10"/>
  <c r="I65" i="10"/>
  <c r="J67" i="10"/>
  <c r="I67" i="10"/>
  <c r="G77" i="10"/>
  <c r="G79" i="10"/>
  <c r="G123" i="10"/>
  <c r="J131" i="10"/>
  <c r="I131" i="10" s="1"/>
  <c r="J153" i="10"/>
  <c r="I153" i="10" s="1"/>
  <c r="J155" i="10"/>
  <c r="I155" i="10" s="1"/>
  <c r="J171" i="10"/>
  <c r="I171" i="10" s="1"/>
  <c r="I150" i="9"/>
  <c r="J22" i="9"/>
  <c r="I22" i="9" s="1"/>
  <c r="J23" i="9"/>
  <c r="I23" i="9" s="1"/>
  <c r="J27" i="9"/>
  <c r="I27" i="9" s="1"/>
  <c r="J39" i="9"/>
  <c r="I39" i="9" s="1"/>
  <c r="J45" i="9"/>
  <c r="I45" i="9" s="1"/>
  <c r="J53" i="9"/>
  <c r="I53" i="9" s="1"/>
  <c r="J104" i="9"/>
  <c r="I104" i="9" s="1"/>
  <c r="J157" i="9"/>
  <c r="I157" i="9" s="1"/>
  <c r="J158" i="9"/>
  <c r="I158" i="9" s="1"/>
  <c r="I178" i="8"/>
  <c r="I66" i="8"/>
  <c r="I79" i="8"/>
  <c r="I96" i="8"/>
  <c r="G163" i="8"/>
  <c r="G22" i="8"/>
  <c r="J23" i="8"/>
  <c r="I23" i="8"/>
  <c r="J24" i="8"/>
  <c r="I24" i="8" s="1"/>
  <c r="J28" i="8"/>
  <c r="I28" i="8" s="1"/>
  <c r="G29" i="8"/>
  <c r="G32" i="8"/>
  <c r="J40" i="8"/>
  <c r="I40" i="8" s="1"/>
  <c r="J44" i="8"/>
  <c r="I44" i="8" s="1"/>
  <c r="J46" i="8"/>
  <c r="I46" i="8" s="1"/>
  <c r="J52" i="8"/>
  <c r="I52" i="8" s="1"/>
  <c r="J54" i="8"/>
  <c r="I54" i="8" s="1"/>
  <c r="G64" i="8"/>
  <c r="G66" i="8" s="1"/>
  <c r="G77" i="8"/>
  <c r="G79" i="8" s="1"/>
  <c r="J105" i="8"/>
  <c r="I105" i="8" s="1"/>
  <c r="I120" i="8" s="1"/>
  <c r="J114" i="8"/>
  <c r="I114" i="8"/>
  <c r="J118" i="8"/>
  <c r="I118" i="8"/>
  <c r="J140" i="8"/>
  <c r="I140" i="8"/>
  <c r="J142" i="8"/>
  <c r="I142" i="8" s="1"/>
  <c r="J158" i="8"/>
  <c r="I158" i="8" s="1"/>
  <c r="J159" i="8"/>
  <c r="I159" i="8" s="1"/>
  <c r="J24" i="7"/>
  <c r="I24" i="7" s="1"/>
  <c r="J28" i="7"/>
  <c r="I28" i="7" s="1"/>
  <c r="G29" i="7"/>
  <c r="J31" i="7"/>
  <c r="I31" i="7" s="1"/>
  <c r="G32" i="7"/>
  <c r="J40" i="7"/>
  <c r="I40" i="7" s="1"/>
  <c r="J44" i="7"/>
  <c r="I44" i="7" s="1"/>
  <c r="J46" i="7"/>
  <c r="I46" i="7" s="1"/>
  <c r="J52" i="7"/>
  <c r="I52" i="7" s="1"/>
  <c r="J54" i="7"/>
  <c r="I54" i="7" s="1"/>
  <c r="G64" i="7"/>
  <c r="G66" i="7" s="1"/>
  <c r="J105" i="7"/>
  <c r="I105" i="7" s="1"/>
  <c r="G110" i="7"/>
  <c r="G117" i="7"/>
  <c r="G119" i="7"/>
  <c r="J140" i="7"/>
  <c r="I140" i="7" s="1"/>
  <c r="J142" i="7"/>
  <c r="I142" i="7" s="1"/>
  <c r="J158" i="7"/>
  <c r="I158" i="7" s="1"/>
  <c r="J159" i="7"/>
  <c r="I159" i="7" s="1"/>
  <c r="I70" i="6"/>
  <c r="I95" i="6"/>
  <c r="I100" i="6"/>
  <c r="I155" i="6"/>
  <c r="I160" i="6"/>
  <c r="G26" i="6"/>
  <c r="J27" i="6"/>
  <c r="I27" i="6" s="1"/>
  <c r="J28" i="6"/>
  <c r="I28" i="6" s="1"/>
  <c r="G31" i="6"/>
  <c r="J32" i="6"/>
  <c r="I32" i="6" s="1"/>
  <c r="G33" i="6"/>
  <c r="J35" i="6"/>
  <c r="I35" i="6" s="1"/>
  <c r="G36" i="6"/>
  <c r="J44" i="6"/>
  <c r="I44" i="6"/>
  <c r="J48" i="6"/>
  <c r="I48" i="6"/>
  <c r="J50" i="6"/>
  <c r="I50" i="6"/>
  <c r="J56" i="6"/>
  <c r="I56" i="6"/>
  <c r="J58" i="6"/>
  <c r="I58" i="6"/>
  <c r="G81" i="6"/>
  <c r="J109" i="6"/>
  <c r="I109" i="6"/>
  <c r="G113" i="6"/>
  <c r="J118" i="6"/>
  <c r="I118" i="6" s="1"/>
  <c r="J122" i="6"/>
  <c r="I122" i="6" s="1"/>
  <c r="G123" i="6"/>
  <c r="J144" i="6"/>
  <c r="I144" i="6"/>
  <c r="J146" i="6"/>
  <c r="I146" i="6" s="1"/>
  <c r="J162" i="6"/>
  <c r="I162" i="6" s="1"/>
  <c r="I167" i="6" s="1"/>
  <c r="J163" i="6"/>
  <c r="I163" i="6"/>
  <c r="I179" i="5"/>
  <c r="I152" i="5"/>
  <c r="I157" i="5"/>
  <c r="J22" i="5"/>
  <c r="I22" i="5" s="1"/>
  <c r="J24" i="5"/>
  <c r="I24" i="5" s="1"/>
  <c r="J25" i="5"/>
  <c r="I25" i="5" s="1"/>
  <c r="J29" i="5"/>
  <c r="I29" i="5" s="1"/>
  <c r="J32" i="5"/>
  <c r="I32" i="5" s="1"/>
  <c r="J41" i="5"/>
  <c r="I41" i="5" s="1"/>
  <c r="J45" i="5"/>
  <c r="I45" i="5" s="1"/>
  <c r="J47" i="5"/>
  <c r="I47" i="5" s="1"/>
  <c r="J53" i="5"/>
  <c r="I53" i="5" s="1"/>
  <c r="J55" i="5"/>
  <c r="I55" i="5" s="1"/>
  <c r="J69" i="5"/>
  <c r="I69" i="5" s="1"/>
  <c r="I80" i="5" s="1"/>
  <c r="J106" i="5"/>
  <c r="I106" i="5" s="1"/>
  <c r="I121" i="5" s="1"/>
  <c r="J115" i="5"/>
  <c r="I115" i="5"/>
  <c r="J119" i="5"/>
  <c r="I119" i="5"/>
  <c r="J141" i="5"/>
  <c r="I141" i="5"/>
  <c r="J143" i="5"/>
  <c r="I143" i="5" s="1"/>
  <c r="J159" i="5"/>
  <c r="I159" i="5" s="1"/>
  <c r="J160" i="5"/>
  <c r="I160" i="5" s="1"/>
  <c r="M11" i="4"/>
  <c r="R13" i="2" s="1"/>
  <c r="N13" i="2" s="1"/>
  <c r="I177" i="4"/>
  <c r="I95" i="4"/>
  <c r="G21" i="4"/>
  <c r="J22" i="4"/>
  <c r="I22" i="4" s="1"/>
  <c r="J27" i="4"/>
  <c r="I27" i="4" s="1"/>
  <c r="J30" i="4"/>
  <c r="I30" i="4" s="1"/>
  <c r="G31" i="4"/>
  <c r="J39" i="4"/>
  <c r="I39" i="4" s="1"/>
  <c r="J43" i="4"/>
  <c r="I43" i="4" s="1"/>
  <c r="J45" i="4"/>
  <c r="I45" i="4" s="1"/>
  <c r="J51" i="4"/>
  <c r="I51" i="4" s="1"/>
  <c r="G52" i="4"/>
  <c r="J53" i="4"/>
  <c r="I53" i="4" s="1"/>
  <c r="J67" i="4"/>
  <c r="I67" i="4" s="1"/>
  <c r="G76" i="4"/>
  <c r="G78" i="4" s="1"/>
  <c r="J104" i="4"/>
  <c r="I104" i="4" s="1"/>
  <c r="J113" i="4"/>
  <c r="I113" i="4" s="1"/>
  <c r="J117" i="4"/>
  <c r="I117" i="4" s="1"/>
  <c r="J139" i="4"/>
  <c r="I139" i="4" s="1"/>
  <c r="J141" i="4"/>
  <c r="I141" i="4" s="1"/>
  <c r="J157" i="4"/>
  <c r="I157" i="4" s="1"/>
  <c r="J158" i="4"/>
  <c r="I158" i="4" s="1"/>
  <c r="G29" i="3"/>
  <c r="G36" i="3"/>
  <c r="J47" i="3"/>
  <c r="I47" i="3" s="1"/>
  <c r="J51" i="3"/>
  <c r="I51" i="3" s="1"/>
  <c r="J59" i="3"/>
  <c r="I59" i="3" s="1"/>
  <c r="G84" i="3"/>
  <c r="G117" i="3"/>
  <c r="G124" i="3"/>
  <c r="J147" i="3"/>
  <c r="I147" i="3" s="1"/>
  <c r="J165" i="3"/>
  <c r="I165" i="3" s="1"/>
  <c r="J166" i="3"/>
  <c r="I166" i="3" s="1"/>
  <c r="J16" i="2"/>
  <c r="H16" i="2" s="1"/>
  <c r="I177" i="1"/>
  <c r="I6" i="1"/>
  <c r="J30" i="1"/>
  <c r="I30" i="1" s="1"/>
  <c r="J28" i="1"/>
  <c r="I28" i="1" s="1"/>
  <c r="J26" i="1"/>
  <c r="I26" i="1" s="1"/>
  <c r="J22" i="1"/>
  <c r="I22" i="1" s="1"/>
  <c r="J20" i="1"/>
  <c r="I20" i="1" s="1"/>
  <c r="J49" i="1"/>
  <c r="I49" i="1" s="1"/>
  <c r="J45" i="1"/>
  <c r="I45" i="1" s="1"/>
  <c r="J43" i="1"/>
  <c r="I43" i="1" s="1"/>
  <c r="J63" i="1"/>
  <c r="I63" i="1" s="1"/>
  <c r="I65" i="1" s="1"/>
  <c r="J76" i="1"/>
  <c r="I76" i="1" s="1"/>
  <c r="J141" i="1"/>
  <c r="I141" i="1" s="1"/>
  <c r="J140" i="1"/>
  <c r="I140" i="1" s="1"/>
  <c r="J139" i="1"/>
  <c r="I139" i="1" s="1"/>
  <c r="J153" i="1"/>
  <c r="I153" i="1" s="1"/>
  <c r="G21" i="1"/>
  <c r="G27" i="1"/>
  <c r="G44" i="1"/>
  <c r="I59" i="6"/>
  <c r="M19" i="2"/>
  <c r="K19" i="2" s="1"/>
  <c r="B22" i="2" l="1"/>
  <c r="M12" i="2"/>
  <c r="K12" i="2" s="1"/>
  <c r="I40" i="12"/>
  <c r="J164" i="12"/>
  <c r="I164" i="12" s="1"/>
  <c r="J163" i="12"/>
  <c r="I163" i="12" s="1"/>
  <c r="J147" i="12"/>
  <c r="I147" i="12" s="1"/>
  <c r="I148" i="12" s="1"/>
  <c r="J110" i="12"/>
  <c r="I110" i="12" s="1"/>
  <c r="J73" i="12"/>
  <c r="I73" i="12" s="1"/>
  <c r="I84" i="12" s="1"/>
  <c r="G34" i="12"/>
  <c r="G69" i="12"/>
  <c r="G71" i="12" s="1"/>
  <c r="M71" i="12"/>
  <c r="M84" i="12"/>
  <c r="G124" i="12"/>
  <c r="G146" i="12"/>
  <c r="G148" i="12" s="1"/>
  <c r="M168" i="12"/>
  <c r="M19" i="3"/>
  <c r="R12" i="2" s="1"/>
  <c r="N12" i="2" s="1"/>
  <c r="I160" i="14"/>
  <c r="I83" i="14"/>
  <c r="J163" i="14"/>
  <c r="I163" i="14" s="1"/>
  <c r="I167" i="14" s="1"/>
  <c r="F182" i="14" s="1"/>
  <c r="J118" i="14"/>
  <c r="I118" i="14" s="1"/>
  <c r="G113" i="14"/>
  <c r="G81" i="14"/>
  <c r="G83" i="14" s="1"/>
  <c r="J44" i="14"/>
  <c r="I44" i="14" s="1"/>
  <c r="G33" i="14"/>
  <c r="I39" i="14"/>
  <c r="M59" i="14"/>
  <c r="M134" i="14"/>
  <c r="J158" i="13"/>
  <c r="I158" i="13" s="1"/>
  <c r="I163" i="13" s="1"/>
  <c r="J118" i="13"/>
  <c r="I118" i="13" s="1"/>
  <c r="J114" i="13"/>
  <c r="I114" i="13" s="1"/>
  <c r="J105" i="13"/>
  <c r="I105" i="13" s="1"/>
  <c r="J68" i="13"/>
  <c r="I68" i="13" s="1"/>
  <c r="I79" i="13" s="1"/>
  <c r="J54" i="13"/>
  <c r="I54" i="13" s="1"/>
  <c r="J46" i="13"/>
  <c r="I46" i="13" s="1"/>
  <c r="J40" i="13"/>
  <c r="I40" i="13" s="1"/>
  <c r="I55" i="13" s="1"/>
  <c r="J23" i="13"/>
  <c r="I23" i="13" s="1"/>
  <c r="M35" i="13"/>
  <c r="M55" i="13"/>
  <c r="G50" i="13"/>
  <c r="G53" i="13"/>
  <c r="M66" i="13"/>
  <c r="M79" i="13"/>
  <c r="M120" i="13"/>
  <c r="M163" i="13"/>
  <c r="I156" i="10"/>
  <c r="J172" i="10"/>
  <c r="I172" i="10" s="1"/>
  <c r="G132" i="10"/>
  <c r="J118" i="10"/>
  <c r="I118" i="10" s="1"/>
  <c r="G90" i="10"/>
  <c r="G92" i="10" s="1"/>
  <c r="J53" i="10"/>
  <c r="I53" i="10" s="1"/>
  <c r="I68" i="10" s="1"/>
  <c r="G42" i="10"/>
  <c r="J37" i="10"/>
  <c r="I37" i="10" s="1"/>
  <c r="J36" i="10"/>
  <c r="I36" i="10" s="1"/>
  <c r="M48" i="10"/>
  <c r="G44" i="10"/>
  <c r="M68" i="10"/>
  <c r="I104" i="10"/>
  <c r="I109" i="10"/>
  <c r="R19" i="2"/>
  <c r="N19" i="2" s="1"/>
  <c r="J191" i="10"/>
  <c r="R18" i="2"/>
  <c r="N18" i="2" s="1"/>
  <c r="I155" i="9"/>
  <c r="J141" i="9"/>
  <c r="I141" i="9" s="1"/>
  <c r="I142" i="9" s="1"/>
  <c r="J139" i="9"/>
  <c r="I139" i="9" s="1"/>
  <c r="J117" i="9"/>
  <c r="I117" i="9" s="1"/>
  <c r="I119" i="9" s="1"/>
  <c r="J113" i="9"/>
  <c r="I113" i="9" s="1"/>
  <c r="J67" i="9"/>
  <c r="I67" i="9" s="1"/>
  <c r="I78" i="9" s="1"/>
  <c r="J51" i="9"/>
  <c r="I51" i="9" s="1"/>
  <c r="J43" i="9"/>
  <c r="I43" i="9" s="1"/>
  <c r="J30" i="9"/>
  <c r="I30" i="9" s="1"/>
  <c r="J20" i="9"/>
  <c r="I20" i="9" s="1"/>
  <c r="I34" i="9" s="1"/>
  <c r="M65" i="9"/>
  <c r="M78" i="9"/>
  <c r="I90" i="9"/>
  <c r="I95" i="9"/>
  <c r="G108" i="9"/>
  <c r="G155" i="9"/>
  <c r="G153" i="9"/>
  <c r="M162" i="9"/>
  <c r="I7" i="9"/>
  <c r="M18" i="2" s="1"/>
  <c r="K18" i="2" s="1"/>
  <c r="G118" i="9"/>
  <c r="M119" i="9"/>
  <c r="G109" i="9"/>
  <c r="G116" i="9"/>
  <c r="J178" i="8"/>
  <c r="I163" i="7"/>
  <c r="G109" i="7"/>
  <c r="G77" i="7"/>
  <c r="G22" i="7"/>
  <c r="G41" i="7"/>
  <c r="G55" i="7" s="1"/>
  <c r="I66" i="7"/>
  <c r="M120" i="7"/>
  <c r="J178" i="7" s="1"/>
  <c r="I151" i="7"/>
  <c r="I156" i="7"/>
  <c r="G12" i="7"/>
  <c r="I12" i="7"/>
  <c r="M16" i="2" s="1"/>
  <c r="K16" i="2" s="1"/>
  <c r="G65" i="4"/>
  <c r="I155" i="4"/>
  <c r="I162" i="4"/>
  <c r="I78" i="4"/>
  <c r="I34" i="4"/>
  <c r="G23" i="4"/>
  <c r="M54" i="4"/>
  <c r="G49" i="4"/>
  <c r="G54" i="4" s="1"/>
  <c r="G63" i="4"/>
  <c r="M65" i="4"/>
  <c r="M78" i="4"/>
  <c r="I129" i="4"/>
  <c r="M142" i="4"/>
  <c r="G162" i="4"/>
  <c r="I185" i="3"/>
  <c r="G116" i="3"/>
  <c r="J61" i="3"/>
  <c r="I61" i="3" s="1"/>
  <c r="G39" i="3"/>
  <c r="J35" i="3"/>
  <c r="I35" i="3" s="1"/>
  <c r="G38" i="3"/>
  <c r="G98" i="3"/>
  <c r="M98" i="3"/>
  <c r="M127" i="3"/>
  <c r="M137" i="3"/>
  <c r="I73" i="3"/>
  <c r="J149" i="3"/>
  <c r="I149" i="3" s="1"/>
  <c r="I150" i="3" s="1"/>
  <c r="G126" i="3"/>
  <c r="J112" i="3"/>
  <c r="I112" i="3" s="1"/>
  <c r="I127" i="3" s="1"/>
  <c r="J53" i="3"/>
  <c r="I53" i="3" s="1"/>
  <c r="I62" i="3" s="1"/>
  <c r="J30" i="3"/>
  <c r="I30" i="3" s="1"/>
  <c r="G75" i="3"/>
  <c r="G86" i="3" s="1"/>
  <c r="M86" i="3"/>
  <c r="I103" i="3"/>
  <c r="I137" i="3"/>
  <c r="M150" i="3"/>
  <c r="D12" i="2"/>
  <c r="B12" i="2" s="1"/>
  <c r="I150" i="1"/>
  <c r="I162" i="1"/>
  <c r="G40" i="1"/>
  <c r="G23" i="1"/>
  <c r="I155" i="1"/>
  <c r="J67" i="1"/>
  <c r="I67" i="1" s="1"/>
  <c r="I78" i="1" s="1"/>
  <c r="M54" i="1"/>
  <c r="M78" i="1"/>
  <c r="M90" i="1"/>
  <c r="M119" i="1"/>
  <c r="M129" i="1"/>
  <c r="G109" i="1"/>
  <c r="G116" i="1"/>
  <c r="M11" i="1"/>
  <c r="R10" i="2" s="1"/>
  <c r="N10" i="2" s="1"/>
  <c r="I11" i="1"/>
  <c r="M10" i="2" s="1"/>
  <c r="K10" i="2" s="1"/>
  <c r="I56" i="5"/>
  <c r="I54" i="9"/>
  <c r="I124" i="14"/>
  <c r="I143" i="13"/>
  <c r="M34" i="1"/>
  <c r="M142" i="1"/>
  <c r="I142" i="1"/>
  <c r="I170" i="3"/>
  <c r="I42" i="3"/>
  <c r="I142" i="4"/>
  <c r="I36" i="5"/>
  <c r="G124" i="6"/>
  <c r="G39" i="6"/>
  <c r="G35" i="8"/>
  <c r="I176" i="10"/>
  <c r="I120" i="13"/>
  <c r="I147" i="14"/>
  <c r="G34" i="1"/>
  <c r="J12" i="2" s="1"/>
  <c r="H12" i="2" s="1"/>
  <c r="G113" i="1"/>
  <c r="G119" i="1" s="1"/>
  <c r="G155" i="1"/>
  <c r="G65" i="1"/>
  <c r="M62" i="3"/>
  <c r="I86" i="3"/>
  <c r="I158" i="3"/>
  <c r="G163" i="3"/>
  <c r="M34" i="4"/>
  <c r="I90" i="4"/>
  <c r="I150" i="4"/>
  <c r="G155" i="4"/>
  <c r="M80" i="5"/>
  <c r="I92" i="5"/>
  <c r="G144" i="5"/>
  <c r="G164" i="5"/>
  <c r="G57" i="6"/>
  <c r="G68" i="6"/>
  <c r="G70" i="6" s="1"/>
  <c r="G72" i="6"/>
  <c r="G83" i="6" s="1"/>
  <c r="M83" i="6"/>
  <c r="J182" i="6" s="1"/>
  <c r="I182" i="6"/>
  <c r="G167" i="6"/>
  <c r="R16" i="2"/>
  <c r="N16" i="2" s="1"/>
  <c r="G23" i="7"/>
  <c r="M55" i="7"/>
  <c r="G50" i="7"/>
  <c r="G53" i="7"/>
  <c r="M66" i="7"/>
  <c r="M79" i="7"/>
  <c r="G114" i="7"/>
  <c r="M143" i="7"/>
  <c r="G141" i="7"/>
  <c r="G59" i="6"/>
  <c r="I83" i="6"/>
  <c r="I17" i="12"/>
  <c r="I71" i="12"/>
  <c r="I183" i="12"/>
  <c r="I161" i="12"/>
  <c r="G91" i="13"/>
  <c r="G96" i="13"/>
  <c r="M130" i="13"/>
  <c r="G163" i="13"/>
  <c r="I65" i="9"/>
  <c r="G119" i="9"/>
  <c r="I129" i="9"/>
  <c r="I177" i="9"/>
  <c r="I191" i="10"/>
  <c r="I169" i="10"/>
  <c r="M60" i="12"/>
  <c r="M125" i="12"/>
  <c r="I135" i="12"/>
  <c r="I66" i="13"/>
  <c r="G70" i="14"/>
  <c r="G156" i="13"/>
  <c r="I178" i="13"/>
  <c r="R22" i="2"/>
  <c r="N22" i="2" s="1"/>
  <c r="I182" i="14"/>
  <c r="M83" i="14"/>
  <c r="J182" i="14" s="1"/>
  <c r="I134" i="14"/>
  <c r="G147" i="14"/>
  <c r="H11" i="4"/>
  <c r="D13" i="2" s="1"/>
  <c r="B13" i="2" s="1"/>
  <c r="H12" i="14"/>
  <c r="I95" i="14"/>
  <c r="G167" i="14"/>
  <c r="I34" i="1"/>
  <c r="I119" i="4"/>
  <c r="F177" i="4" s="1"/>
  <c r="I54" i="4"/>
  <c r="I164" i="5"/>
  <c r="I144" i="5"/>
  <c r="I147" i="6"/>
  <c r="I124" i="6"/>
  <c r="I163" i="8"/>
  <c r="I143" i="8"/>
  <c r="I35" i="8"/>
  <c r="I162" i="9"/>
  <c r="I133" i="10"/>
  <c r="I48" i="10"/>
  <c r="I168" i="12"/>
  <c r="I60" i="12"/>
  <c r="I35" i="13"/>
  <c r="I59" i="14"/>
  <c r="I39" i="6"/>
  <c r="I55" i="8"/>
  <c r="I125" i="12"/>
  <c r="I54" i="1"/>
  <c r="J177" i="4"/>
  <c r="J179" i="5"/>
  <c r="H25" i="2"/>
  <c r="G39" i="1"/>
  <c r="G53" i="1"/>
  <c r="I65" i="4"/>
  <c r="G119" i="4"/>
  <c r="G56" i="5"/>
  <c r="I97" i="5"/>
  <c r="I131" i="5"/>
  <c r="G147" i="6"/>
  <c r="G51" i="1"/>
  <c r="G110" i="5"/>
  <c r="G111" i="5"/>
  <c r="G118" i="5"/>
  <c r="G120" i="5"/>
  <c r="G155" i="5"/>
  <c r="G157" i="5" s="1"/>
  <c r="G158" i="6"/>
  <c r="G160" i="6" s="1"/>
  <c r="M35" i="7"/>
  <c r="I91" i="8"/>
  <c r="I130" i="8"/>
  <c r="I151" i="8"/>
  <c r="I156" i="8"/>
  <c r="G54" i="9"/>
  <c r="G31" i="3"/>
  <c r="G42" i="3" s="1"/>
  <c r="G48" i="3"/>
  <c r="G52" i="3"/>
  <c r="G57" i="3"/>
  <c r="G60" i="3"/>
  <c r="G71" i="3"/>
  <c r="G73" i="3" s="1"/>
  <c r="G125" i="3"/>
  <c r="G127" i="3" s="1"/>
  <c r="G148" i="3"/>
  <c r="G150" i="3" s="1"/>
  <c r="G20" i="4"/>
  <c r="G26" i="4"/>
  <c r="G28" i="4"/>
  <c r="G140" i="4"/>
  <c r="G142" i="4" s="1"/>
  <c r="G23" i="5"/>
  <c r="G28" i="5"/>
  <c r="G30" i="5"/>
  <c r="G33" i="5"/>
  <c r="G65" i="5"/>
  <c r="G67" i="5" s="1"/>
  <c r="J68" i="7"/>
  <c r="I68" i="7" s="1"/>
  <c r="I79" i="7" s="1"/>
  <c r="G68" i="7"/>
  <c r="I96" i="7"/>
  <c r="I178" i="7"/>
  <c r="G55" i="13"/>
  <c r="I70" i="14"/>
  <c r="I91" i="7"/>
  <c r="G96" i="7"/>
  <c r="G41" i="8"/>
  <c r="G45" i="8"/>
  <c r="G50" i="8"/>
  <c r="G53" i="8"/>
  <c r="G109" i="8"/>
  <c r="G110" i="8"/>
  <c r="G117" i="8"/>
  <c r="G119" i="8"/>
  <c r="G141" i="8"/>
  <c r="G143" i="8" s="1"/>
  <c r="G21" i="9"/>
  <c r="G26" i="9"/>
  <c r="G28" i="9"/>
  <c r="G31" i="9"/>
  <c r="G63" i="9"/>
  <c r="G65" i="9" s="1"/>
  <c r="G140" i="9"/>
  <c r="G142" i="9" s="1"/>
  <c r="G34" i="10"/>
  <c r="G41" i="10"/>
  <c r="G54" i="10"/>
  <c r="G58" i="10"/>
  <c r="G63" i="10"/>
  <c r="G66" i="10"/>
  <c r="G122" i="10"/>
  <c r="G127" i="10"/>
  <c r="G154" i="10"/>
  <c r="G156" i="10" s="1"/>
  <c r="I101" i="12"/>
  <c r="G125" i="12"/>
  <c r="I91" i="13"/>
  <c r="F178" i="13" s="1"/>
  <c r="G21" i="13"/>
  <c r="G27" i="13"/>
  <c r="G110" i="13"/>
  <c r="G117" i="13"/>
  <c r="G141" i="13"/>
  <c r="G143" i="13" s="1"/>
  <c r="G28" i="12"/>
  <c r="G29" i="12"/>
  <c r="G46" i="12"/>
  <c r="G50" i="12"/>
  <c r="G55" i="12"/>
  <c r="G58" i="12"/>
  <c r="G159" i="12"/>
  <c r="G161" i="12" s="1"/>
  <c r="G25" i="14"/>
  <c r="G32" i="14"/>
  <c r="G45" i="14"/>
  <c r="G49" i="14"/>
  <c r="G54" i="14"/>
  <c r="G57" i="14"/>
  <c r="G121" i="14"/>
  <c r="G124" i="14" s="1"/>
  <c r="D182" i="6"/>
  <c r="D19" i="2"/>
  <c r="B19" i="2" s="1"/>
  <c r="C15" i="2"/>
  <c r="A15" i="2" s="1"/>
  <c r="G158" i="14"/>
  <c r="G160" i="14" s="1"/>
  <c r="H13" i="12"/>
  <c r="C12" i="2"/>
  <c r="A12" i="2" s="1"/>
  <c r="C19" i="2"/>
  <c r="A19" i="2" s="1"/>
  <c r="F191" i="10"/>
  <c r="M17" i="2"/>
  <c r="K17" i="2" s="1"/>
  <c r="F178" i="8"/>
  <c r="I55" i="7"/>
  <c r="I35" i="7"/>
  <c r="I120" i="7"/>
  <c r="I143" i="7"/>
  <c r="G143" i="7"/>
  <c r="G21" i="7"/>
  <c r="G27" i="7"/>
  <c r="G118" i="7"/>
  <c r="G154" i="7"/>
  <c r="G156" i="7" s="1"/>
  <c r="H11" i="1"/>
  <c r="D10" i="2" s="1"/>
  <c r="B10" i="2" s="1"/>
  <c r="C13" i="2"/>
  <c r="A13" i="2" s="1"/>
  <c r="M15" i="2"/>
  <c r="K15" i="2" s="1"/>
  <c r="F182" i="6"/>
  <c r="D15" i="2"/>
  <c r="B15" i="2" s="1"/>
  <c r="J23" i="2"/>
  <c r="C20" i="2"/>
  <c r="A20" i="2" s="1"/>
  <c r="C17" i="2"/>
  <c r="A17" i="2" s="1"/>
  <c r="C22" i="2"/>
  <c r="A22" i="2" s="1"/>
  <c r="G13" i="12"/>
  <c r="H17" i="12"/>
  <c r="D20" i="2" s="1"/>
  <c r="B20" i="2" s="1"/>
  <c r="G13" i="5"/>
  <c r="J11" i="2"/>
  <c r="H11" i="2" s="1"/>
  <c r="B23" i="2" l="1"/>
  <c r="M20" i="2"/>
  <c r="K20" i="2" s="1"/>
  <c r="K23" i="2" s="1"/>
  <c r="J183" i="12"/>
  <c r="J178" i="13"/>
  <c r="F183" i="12"/>
  <c r="J177" i="9"/>
  <c r="G120" i="7"/>
  <c r="G79" i="7"/>
  <c r="R23" i="2"/>
  <c r="N23" i="2"/>
  <c r="J185" i="3"/>
  <c r="D185" i="3"/>
  <c r="F177" i="1"/>
  <c r="J177" i="1"/>
  <c r="J19" i="2"/>
  <c r="H19" i="2" s="1"/>
  <c r="D177" i="1"/>
  <c r="F178" i="7"/>
  <c r="G40" i="12"/>
  <c r="D183" i="12" s="1"/>
  <c r="G55" i="8"/>
  <c r="G62" i="3"/>
  <c r="F185" i="3"/>
  <c r="G59" i="14"/>
  <c r="G68" i="10"/>
  <c r="C14" i="2"/>
  <c r="A14" i="2" s="1"/>
  <c r="G39" i="14"/>
  <c r="D182" i="14" s="1"/>
  <c r="G120" i="13"/>
  <c r="G35" i="13"/>
  <c r="G133" i="10"/>
  <c r="G48" i="10"/>
  <c r="D191" i="10" s="1"/>
  <c r="G34" i="9"/>
  <c r="D177" i="9" s="1"/>
  <c r="G36" i="5"/>
  <c r="G34" i="4"/>
  <c r="D177" i="4" s="1"/>
  <c r="G121" i="5"/>
  <c r="D179" i="5" s="1"/>
  <c r="F177" i="9"/>
  <c r="C18" i="2"/>
  <c r="A18" i="2" s="1"/>
  <c r="G60" i="12"/>
  <c r="G120" i="8"/>
  <c r="D178" i="8" s="1"/>
  <c r="G54" i="1"/>
  <c r="F179" i="5"/>
  <c r="G35" i="7"/>
  <c r="D23" i="2"/>
  <c r="C16" i="2"/>
  <c r="A16" i="2" s="1"/>
  <c r="A23" i="2" l="1"/>
  <c r="A25" i="2" s="1"/>
  <c r="M23" i="2"/>
  <c r="N25" i="2"/>
  <c r="D178" i="7"/>
  <c r="C23" i="2"/>
  <c r="D178" i="13"/>
  <c r="K25" i="2"/>
</calcChain>
</file>

<file path=xl/comments1.xml><?xml version="1.0" encoding="utf-8"?>
<comments xmlns="http://schemas.openxmlformats.org/spreadsheetml/2006/main">
  <authors>
    <author>AMIN~1</author>
  </authors>
  <commentList>
    <comment ref="C11" authorId="0" shapeId="0">
      <text>
        <r>
          <rPr>
            <b/>
            <sz val="10"/>
            <color indexed="81"/>
            <rFont val="Tahoma"/>
            <family val="2"/>
          </rPr>
          <t>AMIN~1:</t>
        </r>
        <r>
          <rPr>
            <sz val="10"/>
            <color indexed="81"/>
            <rFont val="Tahoma"/>
            <family val="2"/>
          </rPr>
          <t xml:space="preserve">
</t>
        </r>
      </text>
    </comment>
  </commentList>
</comments>
</file>

<file path=xl/sharedStrings.xml><?xml version="1.0" encoding="utf-8"?>
<sst xmlns="http://schemas.openxmlformats.org/spreadsheetml/2006/main" count="7945" uniqueCount="520">
  <si>
    <t>شماره ردیف</t>
  </si>
  <si>
    <t>واحد</t>
  </si>
  <si>
    <t>مقادیر عملیات انجام شده</t>
  </si>
  <si>
    <t>مقدار</t>
  </si>
  <si>
    <t>مبلغ ( ریال )</t>
  </si>
  <si>
    <t>جمع فصل سوم</t>
  </si>
  <si>
    <t>جمع فصل هشتم</t>
  </si>
  <si>
    <t>جمع فصل نهم</t>
  </si>
  <si>
    <t>فصل یازدهم : کارهای فولادی سبک</t>
  </si>
  <si>
    <t>فصل دوازدهم</t>
  </si>
  <si>
    <t>جمع فصل یازدهم</t>
  </si>
  <si>
    <t>جمع فصل دوازدهم</t>
  </si>
  <si>
    <t>فصل بیستم</t>
  </si>
  <si>
    <t>جمع فصل چهاردهم</t>
  </si>
  <si>
    <t>جمع فصل بیستم</t>
  </si>
  <si>
    <t>فصل اول</t>
  </si>
  <si>
    <t>فصل دوم</t>
  </si>
  <si>
    <t>فصل سوم</t>
  </si>
  <si>
    <t>فصل نهم</t>
  </si>
  <si>
    <t>فصل یازدهم</t>
  </si>
  <si>
    <t>فصل شانزدهم</t>
  </si>
  <si>
    <t>جمع فصول</t>
  </si>
  <si>
    <t>هزینه تجهیز و برچیدن کارگاه</t>
  </si>
  <si>
    <t>جمع کل</t>
  </si>
  <si>
    <t>فصل</t>
  </si>
  <si>
    <t>ضرایب</t>
  </si>
  <si>
    <t>مبلغ پس از اعمال ضرایب</t>
  </si>
  <si>
    <t>عملیات تخریب</t>
  </si>
  <si>
    <t>عملیا خاکی با ماشین</t>
  </si>
  <si>
    <t>قالب بندی و چوب بست</t>
  </si>
  <si>
    <t>کارهای فولادی با میلگرد</t>
  </si>
  <si>
    <t>کارهای فولادی سبک</t>
  </si>
  <si>
    <t>بتن درجا</t>
  </si>
  <si>
    <t>عایق کاری</t>
  </si>
  <si>
    <t>حمل و نقل</t>
  </si>
  <si>
    <t xml:space="preserve">مترمكعب             </t>
  </si>
  <si>
    <t xml:space="preserve">مترمربع             </t>
  </si>
  <si>
    <t xml:space="preserve">030901   </t>
  </si>
  <si>
    <t xml:space="preserve">030902   </t>
  </si>
  <si>
    <t xml:space="preserve">030903   </t>
  </si>
  <si>
    <t xml:space="preserve">030910   </t>
  </si>
  <si>
    <t>بارگيري مواد حاصل از عمليات خاكي يا خاكهاي ‏توده شده و حمل آن با كاميون يا هر نوع وسيله ‏مكانيكي ديگر، تا فاصله 100 متري مركز ثقل ‏برداشـت و تخليه آن.‏</t>
  </si>
  <si>
    <t>حمل مواد حاصل از عمليات خاكي يا خاكهاي توده ‏شده ، وقتي كه فاصله حمل بيـش از 100 متر و ‏حداكثر تا 500 متر باشد به ازاي هر 100 مترمازاد ‏بر100 متر اول، كسر صدمتر به تناسب محاسبه ‏مي‌شود.‏</t>
  </si>
  <si>
    <t>حمل آب در صورتي كه فاصله حمل بيـش از يـك ‏كيلومتر باشد، براي هر كيلومتر اضافه بر يـك كيلومتر ‏اول. (كسركيلومتر به تناسـب محاسبه مي شود).‏</t>
  </si>
  <si>
    <t xml:space="preserve">مترمكعب -  كيلومتر‏ </t>
  </si>
  <si>
    <t xml:space="preserve">080501   </t>
  </si>
  <si>
    <t>تهيه وسايل و قالـب بندي درز انبساط در بتن با تمام ‏مصالح لازم، به استثناي كـف سازيهاي بتني بر حسب ‏حجم درز.‏</t>
  </si>
  <si>
    <t xml:space="preserve">دسيمتر مكعب         </t>
  </si>
  <si>
    <t xml:space="preserve">كيلوگرم             </t>
  </si>
  <si>
    <t xml:space="preserve">120106   </t>
  </si>
  <si>
    <t xml:space="preserve">120310   </t>
  </si>
  <si>
    <t>تهيه و اجراي بتن باشن و ماسه شسته طبيعي يا ‏شكسته، از مصالح رودخانه‌اي، با350 كيلو گرم سيمان ‏در مترمكعـب بتن.‏</t>
  </si>
  <si>
    <t>اضافه بها به رديفهاي بتن ريزي درصورت مصرف ‏بتن دربتن مسلح.‏</t>
  </si>
  <si>
    <t xml:space="preserve">200101   </t>
  </si>
  <si>
    <t xml:space="preserve">200102   </t>
  </si>
  <si>
    <t xml:space="preserve">200103   </t>
  </si>
  <si>
    <t>حمل آهن الات، سيمان پاكتي نسبـت به مازادبر 30 ‏كيلومتر تا فاصله 75 كيلومتر‏‎.‎</t>
  </si>
  <si>
    <t>حمل آهن الات، سيمان پاكتي نسبـت به مازاد بر 75 ‏كيلومتر تا فاصله 150 كيلومتر.‏</t>
  </si>
  <si>
    <t>حمل آهن الات، سيمان پاكتي نسبـت به مازادبر 150 ‏كيلومتر تا فاصله 300 كيلومتر.‏</t>
  </si>
  <si>
    <t xml:space="preserve">تن -  كيلومتر‏      </t>
  </si>
  <si>
    <t>جمع فصل شانزدهم</t>
  </si>
  <si>
    <t>فصل دهم</t>
  </si>
  <si>
    <t xml:space="preserve"> .كارهاي‏فولادي‏سنگين</t>
  </si>
  <si>
    <t>مقادیر کل پروژه</t>
  </si>
  <si>
    <t>متر مربع</t>
  </si>
  <si>
    <t>قیمت بر اساس قیمت های فهرست 87</t>
  </si>
  <si>
    <t>1.3*1.1*1.3322</t>
  </si>
  <si>
    <t>قرارداد</t>
  </si>
  <si>
    <t>حمل تا 10 کیلومتر</t>
  </si>
  <si>
    <t>انجام شده</t>
  </si>
  <si>
    <t>مقادیر کل کار</t>
  </si>
  <si>
    <t>030104</t>
  </si>
  <si>
    <t>030105</t>
  </si>
  <si>
    <t xml:space="preserve">خاک برداری در زمینهای سنگی با هر وسیله مکانیکی،
حمل مواد حاصل از خاکبرداری تا فاصله 20 متر از
</t>
  </si>
  <si>
    <t>030701</t>
  </si>
  <si>
    <t>پی کنی و کانال کنی با وسیله مکانیکی در زمینهای
خاکی تا عمق 2 متر</t>
  </si>
  <si>
    <t>030703</t>
  </si>
  <si>
    <t xml:space="preserve">پی کنی، کانال کنی و گودبرداری با چکش
هیدرولیکی در زمینهای سنگی تا عمق 2 متر </t>
  </si>
  <si>
    <t>030801</t>
  </si>
  <si>
    <t>030802</t>
  </si>
  <si>
    <t>اضافه بها به ردیفهای 030701 تا 30703 ، هر گاه
عمق کانال و پی کنی بیش از 2 متر باشد،</t>
  </si>
  <si>
    <t>اضافه بها به ردیفهای 030701 و 030703 در
صورتی که عملیات زیر سطح تراز آبهای زیرزمینی
انجام شود و برای</t>
  </si>
  <si>
    <t>مترمربع</t>
  </si>
  <si>
    <t>060104</t>
  </si>
  <si>
    <t>حمل مصالح (طبق مقدمه فصل) در را ههای آسفالتی،
بیش از یک کیلو متر تا 10 کیلومتر.</t>
  </si>
  <si>
    <t>060701</t>
  </si>
  <si>
    <t>جمع فصل ششم</t>
  </si>
  <si>
    <t>تهیه وسایل، چوب بست و تخته کوبی برای
جلوگیری از ریزش خاک در پی ها در هر عمق.</t>
  </si>
  <si>
    <t>080403</t>
  </si>
  <si>
    <t>080601</t>
  </si>
  <si>
    <t>اضافه بهای قالب بندی هر گاه عملیات در زیر تراز
سطح آبهای زیرزمینی انجام شود و آبکشی با تلمبه
موتوری در حین اجرای کار ضروری باشد.</t>
  </si>
  <si>
    <t>090204</t>
  </si>
  <si>
    <t>090205</t>
  </si>
  <si>
    <t>090206</t>
  </si>
  <si>
    <t>تهیه، بریدن، خم کردن و کار گذاشتن میل گرد آجدار
به قطر تا 10 میلیمتر برای بتن مسلح با AIII از نوع
سیم پیچی لازم.</t>
  </si>
  <si>
    <t>تهیه، بریدن، خم کردن و کار گذاشتن میل گرد آجدار
به قطر 12 تا 18 میلیمتر برای بتن مسلح AIII از نوع
با سیم پیچی لازم.</t>
  </si>
  <si>
    <t>تهیه، بریدن، خم کردن و کار گذاشتن میل گرد آجدار
به قطر 20 و بیش از 20 میلیمتر برای بتن AIII از نوع
مسلح با سیم پیچی لازم.</t>
  </si>
  <si>
    <t>0160101</t>
  </si>
  <si>
    <t>عایق کاری رطوبتی با یک قشر اندود قیری.</t>
  </si>
  <si>
    <t xml:space="preserve"> فصل هفتم</t>
  </si>
  <si>
    <t>اندود و بند کشی</t>
  </si>
  <si>
    <t xml:space="preserve"> فصل هشتم</t>
  </si>
  <si>
    <t>1.3*1.1*1.05*1.05</t>
  </si>
  <si>
    <t>080203</t>
  </si>
  <si>
    <t>تهیه وسایل و قالب بندی دیوارها و ستونهای بتنی
که، ارتفاع أنها بیش از 3 متر و حداکثر 5 متر باشد.</t>
  </si>
  <si>
    <t>0160103</t>
  </si>
  <si>
    <t>عايق كاري رطوبتي باسه قشر اندود قيري ودو لايه ‏گوني.‏</t>
  </si>
  <si>
    <t>جمع فصل نوزدهم</t>
  </si>
  <si>
    <t xml:space="preserve">کیلوگرم           </t>
  </si>
  <si>
    <t>متفرقه</t>
  </si>
  <si>
    <t>تهیه و نصب قطعات بتنی پیش ساخته با عیار 300
کیلو سیمان در متر مکعب، برای دال روی کانالها،
درپوش چاهها و قناتها و موارد مشابه.</t>
  </si>
  <si>
    <t>جمع فصل سیزدهم</t>
  </si>
  <si>
    <t>200104</t>
  </si>
  <si>
    <t>حمل آهن الات، سيمان پاكتي نسبـت به مازادبر 300 ‏كيلومتر تا فاصله 450كيلومتر.‏</t>
  </si>
  <si>
    <t>080201</t>
  </si>
  <si>
    <t>080205</t>
  </si>
  <si>
    <t>تهیه وسایل و قالب بندی دیوارها و ستونهای بتنی
که، ارتفاع أنها بیش از7متر و حداکثر10 متر باشد.</t>
  </si>
  <si>
    <t>090401</t>
  </si>
  <si>
    <t>اضافه بها زیر تراز آب</t>
  </si>
  <si>
    <t>تهیه و نصب لوله و سر ناودان</t>
  </si>
  <si>
    <t>تهیه و اجرای بتن باشن و ماسه شسته طبیعی یا
شکسته، از مصالح رودخان های، با 250 کیلو گرم سیمان
در متر مکعب بتن.</t>
  </si>
  <si>
    <t>اضافه بهای بتن ریزی ازپی به بالا در دیوارها و پایه پلها،
برای حجمهای واقع تا ارتفاع 5 متر.</t>
  </si>
  <si>
    <t>اضافه بهای بتن ریزی از پی به بالادر دیوارها و پایه پلها،
برای حجمهای واقع در ارتفاع بیش از 5 متر تا 10 متر</t>
  </si>
  <si>
    <t>اضافه بهای بتن ریزی تابلیه و پیاده روی پلها (دال ، تیر و
تیرچه)، هرگاه ارتفاع تا زیر تیر بیش از 5 متر تا 10 متر
باشد.</t>
  </si>
  <si>
    <t>اضافه بهای هر نوع بتن ریزی که زیر سطح آب انجام
شود و آبکشی حین انجام کار با تلمبه موتوری الزامی
باشد.</t>
  </si>
  <si>
    <t xml:space="preserve">دسیمتر مکعب       </t>
  </si>
  <si>
    <t>200105</t>
  </si>
  <si>
    <t>حمل آهن الات، سیمان پاکتی نسبت به مازاد بر 450
کیلومتر تا فاصله 750 کیلومتر</t>
  </si>
  <si>
    <t>060702</t>
  </si>
  <si>
    <t>080204</t>
  </si>
  <si>
    <t>تهیه وسایل و قالب بندی دیوارها و ستونهای بتنی
که، ارتفاع أنها بیش از 5 متر و حداکثر 7 متر باشد.</t>
  </si>
  <si>
    <t>080402</t>
  </si>
  <si>
    <t>080401</t>
  </si>
  <si>
    <t>اضافه بها به ردیفهای قالب بندی هرگاه قالب الزاما
در کار باقی بماند.</t>
  </si>
  <si>
    <t>090503</t>
  </si>
  <si>
    <t>تهیه، ساخت و نصب میل مهار دنده شده (بولت)
از هر نوع میل گرد، با پیچ و مهره مربوط و کار
گذاری در محلهای لازم، قبل از بتن ریزی.</t>
  </si>
  <si>
    <t>پخش، آب پاشی، تسطیح و کوبیدن قشر اساس به
ضخامت بیش از 10 تا 15 سانتیمتر با حداقل 100
درصد تراکم، به روش آشتو اصلاحی</t>
  </si>
  <si>
    <t>تهیه مصالح رودخان های (تونان)، برای تحکیم بسترراه
یا اجرای قشر تقویتی در زیرسازی راه،بارگیری و
حمل تا فاصله یک کیلو متر، و باراندازی.</t>
  </si>
  <si>
    <t>شرح ردیف فهرست بها</t>
  </si>
  <si>
    <t>بهای واحد</t>
  </si>
  <si>
    <t>مقدار اولیه</t>
  </si>
  <si>
    <t>مبلغ  اولیه</t>
  </si>
  <si>
    <t>مقدار تغییر یافته</t>
  </si>
  <si>
    <t>مبلغ تغییر یافته</t>
  </si>
  <si>
    <t>توضیحات</t>
  </si>
  <si>
    <t>شماره و تاريخ قرار داد :</t>
  </si>
  <si>
    <t>پيمانکار : شرکت ساختمانی روبن سازه</t>
  </si>
  <si>
    <t xml:space="preserve">اضافه بها برای سطوحی از قالب که دارای انحنا
</t>
  </si>
  <si>
    <t>شرح فصل فهرست بها</t>
  </si>
  <si>
    <t>190501</t>
  </si>
  <si>
    <t>کار گذاری لوله پلاستیکی در ابنیه فنی</t>
  </si>
  <si>
    <t>جدول تغییر مقادیر (مطابق ماده 29 شرایط عمومی پیمان)</t>
  </si>
  <si>
    <t>خاک برداری در زمین های خاکی، حمل مواد حاصل
از خاک برداری تا فاصله 20 متر از مرکز ثقلبرداشت و توده کردن آن</t>
  </si>
  <si>
    <t>031204</t>
  </si>
  <si>
    <t>پخش مصالح حاصل از خاک برداری.که در محلهای تعین شده دپوشده باشند با هر ضخامت</t>
  </si>
  <si>
    <t>متر طول</t>
  </si>
  <si>
    <t>060703</t>
  </si>
  <si>
    <t>حمل مصالح (طبق مقدمه فصل) در را ههای آسفالتی،
بیش از30 کیلومتر.</t>
  </si>
  <si>
    <t>ف</t>
  </si>
  <si>
    <t>*</t>
  </si>
  <si>
    <t>تهيه و اجراي بتن باشن و ماسه شسته طبيعي يا ‏شكسته، از مصالح رودخانه‌اي، با400 كيلو گرم سيمان ‏در مترمكعـب بتن.‏</t>
  </si>
  <si>
    <t>اضافه بها به ردیفهای بلوک چینی که در پایین تراز آب انجام شود و استفاده از تلمبه موتوری ححین اجرای عملییات الزامی باشد نقل از فهرست ابنیه</t>
  </si>
  <si>
    <t>اضافه بها براي مصرف سيمان نوع 2در بتن و یا ملاتها به جای سیمان نوع 1</t>
  </si>
  <si>
    <t>حمل بتن با تراک میکسر از محل دستگاه بتن ساز تامحل مصرف.به ازای هر یک کیلومتر.کسر کیلومتر به تناسب محاسبه مشود</t>
  </si>
  <si>
    <t>حمل مصالح(طبق مقدمه فصل)در راه های آسفالتی.بیش از یک کیلومتر تا 10 کیلومتر</t>
  </si>
  <si>
    <t>حمل مصالح(طبق مقدمه فصل)در راه های آسفالتی.بیش از  10 کیلومتر</t>
  </si>
  <si>
    <t>پخش، آب پاشی، تسطیح و کوبیدن قشر زیراساس به
ضخامت تا 15 سانتیمتر با حداقل 100 درصد
تراکم، به روش آشتو اصلاحی.</t>
  </si>
  <si>
    <t>اضافه بها به ردیفهای 140701 تا 140704 ، بابت سختی اجرای زیر اساس واساس در شانه سازیهای به عرض تا 2 متر</t>
  </si>
  <si>
    <t>تهیه مصالح و پر کردن درزهای کف سازیهای بتن با آیرولاستیک...</t>
  </si>
  <si>
    <t xml:space="preserve">مقادیر مندرج در برآورد فاز 2 </t>
  </si>
  <si>
    <t>مقاذیر عملیات که در محدوده 25% قرارداد انجام خواهد شد</t>
  </si>
  <si>
    <t>کارفرما: اداره کل راه وترابری استان مازندران</t>
  </si>
  <si>
    <t>060203</t>
  </si>
  <si>
    <t>060301</t>
  </si>
  <si>
    <t>060403</t>
  </si>
  <si>
    <t>060603</t>
  </si>
  <si>
    <t>060606</t>
  </si>
  <si>
    <t>070103</t>
  </si>
  <si>
    <t>070104</t>
  </si>
  <si>
    <t>070203</t>
  </si>
  <si>
    <t>060105</t>
  </si>
  <si>
    <t>حمل مصالح (طبق مقدمه فصل) در را ههای آسفالتی،
بیش از 10 کیلومتر. تا 30 کیلومتر</t>
  </si>
  <si>
    <t>تهیه و اجرای بتن باشن و ماسه شسته طبیعی یا
شکسته، از مصالح رودخان های، با 200 کیلو گرم سیمان
در متر مکعب بتن.</t>
  </si>
  <si>
    <t>فهرست راه وباند سال 1388</t>
  </si>
  <si>
    <t xml:space="preserve">  فصل سوم: عملیات خاکی با ماشین</t>
  </si>
  <si>
    <t xml:space="preserve">  فصل ششم:عملیات بنایی با سنگ</t>
  </si>
  <si>
    <t>سنگريزي پشـت ديوارها و پلها (درناژ) با سنـگ ‏لاشه.‏</t>
  </si>
  <si>
    <t>مترمكعب</t>
  </si>
  <si>
    <t>خشكه چيني (بلوكاژ) با سنـگ لاشه.‏</t>
  </si>
  <si>
    <t>تهيه، ساخـت و نصـب تور سنـگ (گابيون) با تور ‏سيمي گالوانيزه و قلوه سنـگ.‏</t>
  </si>
  <si>
    <t>بنايي با سنـگ لاشه و ملات ماسه سيمان 1:3 در پي.‏</t>
  </si>
  <si>
    <t>اضافه بها به رديفهاي بنايي با سنـگ لاشه در پي، ‏براي بنايي در ديوار.‏</t>
  </si>
  <si>
    <t>اضافه بها به رديفهاي خشکه‌چيني و بنايي با سنـگ ‏لاشه، براي سطوح شيب‌دار.‏</t>
  </si>
  <si>
    <t>تعبيه درز انقطاع در بناييهاي سنگي، با تمام عمليات ‏لازم و به هر شكل.‏</t>
  </si>
  <si>
    <t>اضافه بها برای هر نوع دیوار سنگی برای ارتفاع بیش از 5 متر</t>
  </si>
  <si>
    <t xml:space="preserve">  فصل هفتم:اندود و بند کشی</t>
  </si>
  <si>
    <t>اندود سيماني به ضخامـت حدود 3 سانتيمتر روي ‏سطوح افقي، قايم ومورب، با ملات ماسه سيمان 1:3.‏</t>
  </si>
  <si>
    <t>اندود سيماني به ضخامـت حدود 5 سانتيمتر روي ‏سطوح افقي، قايم ومورب، با ملات ماسه سيمان 1:3.‏</t>
  </si>
  <si>
    <t>اضافه بهاي بندكشي در ديوارهاي سنگي از هر نوع، ‏در ارتفاع بيـش از 5 متر. اين اضافه بها از 5 تا 10 ‏متر يـك بار، 10 تا 15 متر دو بار و به همين ترتيـب ‏در ارتفاعات بعدي پرداخـت مي شود.‏</t>
  </si>
  <si>
    <t>جمع فصل هفتم</t>
  </si>
  <si>
    <t xml:space="preserve">  فصل هشتم:قالب بندی و چوب بست</t>
  </si>
  <si>
    <t>تهيه وسايل و قالـب بندي در پي ها‎.‎</t>
  </si>
  <si>
    <t xml:space="preserve">  فصل نهم:کارهای فولادی با میلگرد</t>
  </si>
  <si>
    <t xml:space="preserve">تهیه وسایل و قالب بندی دیوارها و ستونهای بتنی حداکثر 2متر
</t>
  </si>
  <si>
    <t>كيلوگرم</t>
  </si>
  <si>
    <t>اضافه بها براي مصرف سيمان اضافي نسبـت به عيار ‏درج شده در رديفهاي بتن ريزي در صورتي كه از سيمان ‏نوع 1  استفاده شود.‏</t>
  </si>
  <si>
    <t xml:space="preserve">  فصل دوازدهم:بتن در جا</t>
  </si>
  <si>
    <t xml:space="preserve">  فصل سیزدهم:بتن پیش ساخته</t>
  </si>
  <si>
    <t>تهیه و نصب لوله بتنی مسلح به قطر داخلی 80 سانتیمتر و ضخامت جدار 10 سانتیمتر با بتن 350 کیلوگرم سیمان در متر مکعب</t>
  </si>
  <si>
    <t xml:space="preserve">  فصل چهاردهم:اساس و زیر اساس</t>
  </si>
  <si>
    <t xml:space="preserve">  فصل شانزدهم:عایق کاری</t>
  </si>
  <si>
    <t xml:space="preserve">  فصل بیستم:حمل و نقل</t>
  </si>
  <si>
    <t>فصل پنجم</t>
  </si>
  <si>
    <t>حفاری و سپر کوبی</t>
  </si>
  <si>
    <t>060402</t>
  </si>
  <si>
    <t>اضافه بها به رديفهاي بنايي با سنـگ لاشه، بابـت ‏نماسازي با سنـگ بادبر</t>
  </si>
  <si>
    <t>070202</t>
  </si>
  <si>
    <t>بندکشی نمای سنگی بادبر، سر تراش، نیم تراش و
تمام تراش، با ملات ماسه سیمان 1:3 درسطوح افقی،
قایم یا مورب تا ارتفاع 5 متر</t>
  </si>
  <si>
    <t>120102</t>
  </si>
  <si>
    <t>تهیه و اجرای بتن باشن و ماسه شسته طبیعی یا
شکسته، از مصالح رودخان های، با 150 کیلو گرم سیمان
در متر مکعب بتن.</t>
  </si>
  <si>
    <t>مقادیر مندرج درقرار داد</t>
  </si>
  <si>
    <t>030904</t>
  </si>
  <si>
    <t>حمل مواد حاصل از عمليات خاكي يدر صورتي كه فاصله حمل بيـش ‏از500 متر تا10 كيلومتر باشد، براي هر كيلومتر اضافه ‏بر 500 متر اول، كسر كيلومتر، به تناسـب محاسبه مي ‏شود.‏</t>
  </si>
  <si>
    <t>حمل مواد حاصل از عملیات خاکی  در صورتی که فاصله 
بیش از 10 کیلومتر تا 30 کیلومتر باشد، برای هر
کیلومتر اضافه بر 10 کیلومتر، کسر کیلومتر به تناسب
محاسبه می شو</t>
  </si>
  <si>
    <t>031106</t>
  </si>
  <si>
    <t>پخش، آب پاشی، تسطیح، پروفیله کردن و کوبیدن
قشرهای خاکریزی روی ورودی و خروجی تونلها و
گالری ها طبق مشخصات</t>
  </si>
  <si>
    <t>031401</t>
  </si>
  <si>
    <t>تهیه وحمل پوکه معدنی تا 500 متر</t>
  </si>
  <si>
    <t>060101</t>
  </si>
  <si>
    <t>سنگریزی پشت دیوارها و پلها (درناژ) با قلوه
سنگ</t>
  </si>
  <si>
    <t>060102</t>
  </si>
  <si>
    <t>080310</t>
  </si>
  <si>
    <t>تهیه وسایل و قالب بندی تابلیه پلهای با دهانه بیش از
12 متر تا 20 متر، مرکب از تیر و دال وقتی که ارتفاع تا
زیر تیر بیش از 7 متر و حداکثر 10 متر باشد.</t>
  </si>
  <si>
    <t xml:space="preserve">تهیه وحمل و نصب لوله گالوانیزه </t>
  </si>
  <si>
    <t>120702</t>
  </si>
  <si>
    <t>اضافه بها براي مصرف سيمان نوع 5در بتن و یا ملاتها به جای سیمان نوع 1</t>
  </si>
  <si>
    <t>131001</t>
  </si>
  <si>
    <t>تهیه و نصب بلوکهای بتنی جدا کننده ترافیک
(نیوجرسی باریر)، با بتن به عیار 250 کیلو گرم سیمان
در متر مکعب بتن</t>
  </si>
  <si>
    <t>140603</t>
  </si>
  <si>
    <t>تهیه مصالح اساس از سنگ کوهی بارگیری و حمل تا
فاصله یک کیلو متری معدن و باراندازی در محل
مصرف، وقتی که دانه بندی صفر تا 25 میلیمتر باشد،</t>
  </si>
  <si>
    <t>141903</t>
  </si>
  <si>
    <t>حمل مصالح (طبق مقدمه فصل) در راه های آسفالتی، بیش
از 30 کیلومتر</t>
  </si>
  <si>
    <t>حمل مصالح (طبق مقدمه فصل) در راه های آسفالتی، بیش
از 10 کیلومتر تا 30 کیلومتر.</t>
  </si>
  <si>
    <t>191002</t>
  </si>
  <si>
    <t>تهیه و اجرای ژئودرین (geo drain) ویا (macdrain)</t>
  </si>
  <si>
    <t>030401</t>
  </si>
  <si>
    <t>برداشت مواد ناشی از ریزش (ریزش برداری)،</t>
  </si>
  <si>
    <t>030702</t>
  </si>
  <si>
    <t>پی کنی و کانال کنی با وسیله مکانیکی در زمینهای
لجنی تا عمق 2 متر</t>
  </si>
  <si>
    <t>110205</t>
  </si>
  <si>
    <t>تهیه و نصب تور سیمی گالوانیزه حصاری</t>
  </si>
  <si>
    <t>141101</t>
  </si>
  <si>
    <t>141104</t>
  </si>
  <si>
    <t>تثبیت بستر زیرسازی و روسازی راه و سطوح پروازی
فرودگاهها، به وسیله اختلاط خاک بستر با آهک شکفته
به ضخامت 15 سانتیمتر، با عیار 50 کیلوگرم آهک</t>
  </si>
  <si>
    <t>اضافه بها به ردیفهای 141101 تا 141103 ، به ازای هر 50
کیلوگرم آهک اضافی. کسر 50 کیلوگرم به تناسب
محاسبه می شو</t>
  </si>
  <si>
    <t>190104</t>
  </si>
  <si>
    <t>تهیه مصالح و اندود پرایمر و پرکردن درزهای عمیق
کف سازیهای بتنی با آئرولاستیک و مواد پرکننده
مانند پلاستوفوم،</t>
  </si>
  <si>
    <t>270*3.5=945</t>
  </si>
  <si>
    <t>060602</t>
  </si>
  <si>
    <t>اضافه بها به عملیات بنایی سنگی خارج از پی، در
صورتیکه بنایی در انحنا انجام شود.</t>
  </si>
  <si>
    <t>060503</t>
  </si>
  <si>
    <t>بنایی با سنگ تمام تراش و ملات ماسه سیمان 1:3</t>
  </si>
  <si>
    <t>270*2*1=540</t>
  </si>
  <si>
    <t>270*1*3.85=1039</t>
  </si>
  <si>
    <t>3500*.3=1260</t>
  </si>
  <si>
    <t>4200*.1=420</t>
  </si>
  <si>
    <t>4200*.6=2520</t>
  </si>
  <si>
    <t>4200*4</t>
  </si>
  <si>
    <t>4200*5</t>
  </si>
  <si>
    <t>893*5*.5=2232</t>
  </si>
  <si>
    <t>893*250=223250</t>
  </si>
  <si>
    <t>893*14</t>
  </si>
  <si>
    <t>893*1.3*9=10448</t>
  </si>
  <si>
    <t>893*1.3*30=34827</t>
  </si>
  <si>
    <t>141601</t>
  </si>
  <si>
    <t>تهیه بالاست از سنگ کوهی، با دانه بندی 20 تا 60
میلیمتر</t>
  </si>
  <si>
    <t>9*950</t>
  </si>
  <si>
    <t>20*950</t>
  </si>
  <si>
    <t>10*950</t>
  </si>
  <si>
    <t>1000*.15</t>
  </si>
  <si>
    <t>100*3.5</t>
  </si>
  <si>
    <t>1000*.4</t>
  </si>
  <si>
    <t>1000*0.5</t>
  </si>
  <si>
    <t>4*1000</t>
  </si>
  <si>
    <t>5*1000</t>
  </si>
  <si>
    <t>780*.5*5</t>
  </si>
  <si>
    <t>بیست و پنج درصد افزایش قرارداد</t>
  </si>
  <si>
    <t xml:space="preserve">قرارداد اصلی </t>
  </si>
  <si>
    <t>100*7*1</t>
  </si>
  <si>
    <t>700*9</t>
  </si>
  <si>
    <t>700*20</t>
  </si>
  <si>
    <t>100*7</t>
  </si>
  <si>
    <t>مشاور : مهندسین مشاور تدبیر راه</t>
  </si>
  <si>
    <t>2000*9*1.3</t>
  </si>
  <si>
    <t>2000*20*1.3</t>
  </si>
  <si>
    <t>2000*16*1.3</t>
  </si>
  <si>
    <t>2150*250</t>
  </si>
  <si>
    <t>2150*14</t>
  </si>
  <si>
    <t>2150*1.3*9</t>
  </si>
  <si>
    <t>2150*1.3*30</t>
  </si>
  <si>
    <t>1390/03/18-63/9/8713</t>
  </si>
  <si>
    <t xml:space="preserve">شرح تغییر مقادیر عملیات </t>
  </si>
  <si>
    <t xml:space="preserve">مشاور : </t>
  </si>
  <si>
    <t>فهرست راهداری سال 1392</t>
  </si>
  <si>
    <t xml:space="preserve">  فصل اول :تخریب و برچیدن</t>
  </si>
  <si>
    <t>10307</t>
  </si>
  <si>
    <t>10308</t>
  </si>
  <si>
    <t>تخریب انواع بتن غیر مسلح</t>
  </si>
  <si>
    <t>تخریب بتن مسلح با هر عیار سیمان</t>
  </si>
  <si>
    <t>30902</t>
  </si>
  <si>
    <t>30903</t>
  </si>
  <si>
    <t>30904</t>
  </si>
  <si>
    <t>حمل مواد حاصل از عملیات خاکی فاصله حمل بیش از 500 متر تا 10 کیلومتر</t>
  </si>
  <si>
    <t>حمل مواد حاصل از عملیات خاکی فاصله حمل بیش از10 کیلومتر</t>
  </si>
  <si>
    <t>حمل آب</t>
  </si>
  <si>
    <t xml:space="preserve">مترمكعب کیلومتر            </t>
  </si>
  <si>
    <t>جمع فصل اول</t>
  </si>
  <si>
    <t>50102</t>
  </si>
  <si>
    <t>جمع فصل پنجم</t>
  </si>
  <si>
    <t>حفاری و گمانه زنی در بتن به قطر تا 56 میلیمتر</t>
  </si>
  <si>
    <t xml:space="preserve">  فصل هشتم : قالب بندی</t>
  </si>
  <si>
    <t>81001</t>
  </si>
  <si>
    <t>متر مکعب</t>
  </si>
  <si>
    <t>90205</t>
  </si>
  <si>
    <t>90503</t>
  </si>
  <si>
    <t>کیلوگرم</t>
  </si>
  <si>
    <t>تهیه ساخت و نصب بولت با پیچ و مهره مربوطه</t>
  </si>
  <si>
    <t>جمع فصل دهم</t>
  </si>
  <si>
    <t>110306</t>
  </si>
  <si>
    <t>110401</t>
  </si>
  <si>
    <t xml:space="preserve">تهیه مصالح و ساخت و نصب نرده جانپناه </t>
  </si>
  <si>
    <t>تهیه و نصب لوله ، لگنچه و درپوش چدنی</t>
  </si>
  <si>
    <t xml:space="preserve">  فصل دوازدهم : احداث و مرمت ابنیه بتنی</t>
  </si>
  <si>
    <t>120106</t>
  </si>
  <si>
    <t>120207</t>
  </si>
  <si>
    <t>120208</t>
  </si>
  <si>
    <t>120209</t>
  </si>
  <si>
    <t>120213</t>
  </si>
  <si>
    <t>120501</t>
  </si>
  <si>
    <t>120801</t>
  </si>
  <si>
    <t>120901</t>
  </si>
  <si>
    <t>120902</t>
  </si>
  <si>
    <t>تهیه و اجرای بتن با عیار 350 کیلوگرم سیمان در متر مکعب</t>
  </si>
  <si>
    <t>اضافه بها بتن ریزی تابلیه و پیاده روی پل ها</t>
  </si>
  <si>
    <t>اضافه بها به ردیف های بتن درجا برای بتن ریزی در شرایط غیر متعارف</t>
  </si>
  <si>
    <t>اضافه بها به ردیف بتن ریزی در صورت مصرف بتن در بتن مسلح</t>
  </si>
  <si>
    <t xml:space="preserve">اختلاط و کاربرد انواع افزودنی ها در بتن </t>
  </si>
  <si>
    <t xml:space="preserve">حمل بتن با تراک میکسر </t>
  </si>
  <si>
    <t>متر مکعب کیلومتر</t>
  </si>
  <si>
    <t>انجام گروتینگ با مصالح و مواد با افت صفر</t>
  </si>
  <si>
    <t>دسیمتر مکعب</t>
  </si>
  <si>
    <t xml:space="preserve">اضافه بها به ردیف 120901 هر گاه از گروت پمپ استفاده شود </t>
  </si>
  <si>
    <t>160103</t>
  </si>
  <si>
    <t>تهیه مصالح و اجرای عایقکاری با سه قشر اندود قیری و دو لایه گونی</t>
  </si>
  <si>
    <t>200201</t>
  </si>
  <si>
    <t>200202</t>
  </si>
  <si>
    <t>200203</t>
  </si>
  <si>
    <t>200204</t>
  </si>
  <si>
    <t>200205</t>
  </si>
  <si>
    <t>حمل آهن الات و سیمان مازاد بر 30 تا 75 کیلومتر</t>
  </si>
  <si>
    <t>حمل آهن الات و سیمان مازاد بر 75 تا 150 کیلومتر</t>
  </si>
  <si>
    <t>حمل آهن الات و سیمان مازاد بر 150 تا 300 کیلومتر</t>
  </si>
  <si>
    <t>حمل آهن الات و سیمان مازاد بر 300 تا 450 کیلومتر</t>
  </si>
  <si>
    <t>حمل آهن الات و سیمان مازاد بر 450 تا 750 کیلومتر</t>
  </si>
  <si>
    <t>تن کیلومتر</t>
  </si>
  <si>
    <t xml:space="preserve">  فصل بیست و پنجم : متفرقه</t>
  </si>
  <si>
    <t xml:space="preserve">جمع فصل بیست و پنجم </t>
  </si>
  <si>
    <t>فصل بیست و پنجم</t>
  </si>
  <si>
    <t xml:space="preserve">بالاسری </t>
  </si>
  <si>
    <t>ضریب پیشنهادی</t>
  </si>
  <si>
    <t>تهیه و بریدن و کارگذاشتن میلگرد آجدار به قطر 12 تا 18</t>
  </si>
  <si>
    <t>160307</t>
  </si>
  <si>
    <t>تهیه مصالح و اجرای آستر و رویه روغنی</t>
  </si>
  <si>
    <t>افزایش</t>
  </si>
  <si>
    <t>کاهش</t>
  </si>
  <si>
    <t>افزایش و کاهش مقادیر</t>
  </si>
  <si>
    <t>تن</t>
  </si>
  <si>
    <t>250301</t>
  </si>
  <si>
    <t>تهیه و کارگذاری لوله پلاستیکی در ابنیه فنی برای عبور آب</t>
  </si>
  <si>
    <t>90204</t>
  </si>
  <si>
    <t>تهیه و بریدن و کارگذاشتن میلگرد آجدار به قطر  تا 10</t>
  </si>
  <si>
    <t>فهرست راهداری سال 1395</t>
  </si>
  <si>
    <t>10802</t>
  </si>
  <si>
    <t>کارفرما: اداره کل راه وشهرسازی استان آذربایجان شرقی</t>
  </si>
  <si>
    <t>20101</t>
  </si>
  <si>
    <t>20103</t>
  </si>
  <si>
    <t>20104</t>
  </si>
  <si>
    <t>لجن برداری</t>
  </si>
  <si>
    <t>پی کنی در زمین سخت</t>
  </si>
  <si>
    <t>پی کنی در زمین سنگی</t>
  </si>
  <si>
    <t>مترمکعب</t>
  </si>
  <si>
    <t>20201</t>
  </si>
  <si>
    <t>اضافه بها 20102 تا 20104 برای عمق پی کنی بیشتر از 2 متر</t>
  </si>
  <si>
    <t>20202</t>
  </si>
  <si>
    <t>اضافه بها 20102 تا 20104 برای عملیات پایین تر از سطح آب زیرزمینی</t>
  </si>
  <si>
    <t>20301</t>
  </si>
  <si>
    <t>حفر میله چاه</t>
  </si>
  <si>
    <t>20401</t>
  </si>
  <si>
    <t>بارگیری تا 20 متر</t>
  </si>
  <si>
    <t>20402</t>
  </si>
  <si>
    <t>اضافه بها به 20101 و 20401 برای 20 متر حمل اضافی با وسایل دستی</t>
  </si>
  <si>
    <t>20501</t>
  </si>
  <si>
    <t>رگلاژکف پی ها</t>
  </si>
  <si>
    <t>20502</t>
  </si>
  <si>
    <t>ریختن خاک ها با مصالح سنگی موجود در کنار پی ها و کانال ها</t>
  </si>
  <si>
    <t>آب پاشی و کوبیدن خاک های پخش شده با تراکم 90 درصد</t>
  </si>
  <si>
    <t xml:space="preserve">  فصل دوم: عملیات خاکی با دست</t>
  </si>
  <si>
    <t>30104</t>
  </si>
  <si>
    <t>خاکبرداری در زمین سخت</t>
  </si>
  <si>
    <t>30105</t>
  </si>
  <si>
    <t>خاکبرداری در زمین سنگی</t>
  </si>
  <si>
    <t>30702</t>
  </si>
  <si>
    <t>30704</t>
  </si>
  <si>
    <t>30801</t>
  </si>
  <si>
    <t>اضافه بها به 30701 تا 30704 برای عمق پی کنی بیشتر از 2 متر</t>
  </si>
  <si>
    <t>30802</t>
  </si>
  <si>
    <t>اضافه بها برای عملیات زیر سطح تراز آب زیرزمینی</t>
  </si>
  <si>
    <t>30901</t>
  </si>
  <si>
    <t>بارگیری تا 500 متر</t>
  </si>
  <si>
    <t>31204</t>
  </si>
  <si>
    <t>پخش مصالح حاصل از خاکبرداری</t>
  </si>
  <si>
    <t xml:space="preserve">  فصل پنجم: حفاری، شمع کوبی و سپرکوبی</t>
  </si>
  <si>
    <t>50103</t>
  </si>
  <si>
    <t>اضافه بها به ردیف 50102 بابت هر متر افزایش عمق مازاد بر 3 متر</t>
  </si>
  <si>
    <t xml:space="preserve">  فصل هفتم : اندود و بندکشی</t>
  </si>
  <si>
    <t>70104</t>
  </si>
  <si>
    <t>80203</t>
  </si>
  <si>
    <t>80204</t>
  </si>
  <si>
    <t>قالب بندی دیوار 3 تا 5 متر</t>
  </si>
  <si>
    <t>قالب بندی دیوار 5 تا 7 متر</t>
  </si>
  <si>
    <t>80301</t>
  </si>
  <si>
    <t>قالب بندی تابلیه با دهانه تا 5 متر</t>
  </si>
  <si>
    <t>80303</t>
  </si>
  <si>
    <t>قالب بندی تابلیه 8 تا 12 متر</t>
  </si>
  <si>
    <t>80401</t>
  </si>
  <si>
    <t>اضافه بها برای سطوحی که قالب دارای انحنا است</t>
  </si>
  <si>
    <t>80402</t>
  </si>
  <si>
    <t>اضافه بها قالب بندی هرگاه قالب الزاما در کار باقی بماند</t>
  </si>
  <si>
    <t>80501</t>
  </si>
  <si>
    <t>قالب بندی درز انبساط</t>
  </si>
  <si>
    <t>داربست</t>
  </si>
  <si>
    <t xml:space="preserve">  فصل نهم: کارهای فولادی با میلگرد</t>
  </si>
  <si>
    <t>90206</t>
  </si>
  <si>
    <t>تهیه و بریدن و کارگذاشتن میلگرد آجدار به قطر 20 و بالا</t>
  </si>
  <si>
    <t>90506</t>
  </si>
  <si>
    <t>سوراخ کردن بتن</t>
  </si>
  <si>
    <t xml:space="preserve">  فصل دهم: کارهای فولادی سنگین</t>
  </si>
  <si>
    <t>100101</t>
  </si>
  <si>
    <t>100403</t>
  </si>
  <si>
    <t>تهیه مصالح، نصب تیرها و بادبندهای پل های فلزی به دهانه تا 24 متر</t>
  </si>
  <si>
    <t>درز انبساط</t>
  </si>
  <si>
    <t xml:space="preserve">  فصل یازدهم: کارهای فولادی سبک</t>
  </si>
  <si>
    <t>3500*.3=1259</t>
  </si>
  <si>
    <t>1000*.14</t>
  </si>
  <si>
    <t>120105</t>
  </si>
  <si>
    <t>تهیه و اجرای بتن با عیار 300 کیلوگرم سیمان در متر مکعب</t>
  </si>
  <si>
    <t>120203</t>
  </si>
  <si>
    <t>اضافه بها بتن ریزی از پی به بالا</t>
  </si>
  <si>
    <t>270*3.5=944</t>
  </si>
  <si>
    <t>100*3.4</t>
  </si>
  <si>
    <t>120211</t>
  </si>
  <si>
    <t>زبر کردن و شیار انداختن</t>
  </si>
  <si>
    <t>120402</t>
  </si>
  <si>
    <t>تزریق</t>
  </si>
  <si>
    <t>270*3.5=943</t>
  </si>
  <si>
    <t>100*3.3</t>
  </si>
  <si>
    <t>120210</t>
  </si>
  <si>
    <t>اضافه بتن ریزی سطح اب</t>
  </si>
  <si>
    <t>120701</t>
  </si>
  <si>
    <t>اضافه بها مصرف سیمان نوع دو به جای سیمان نوع 1</t>
  </si>
  <si>
    <t xml:space="preserve">  فصل شانزدهم : عایقکاری، رنگ آمیزی و حفاظت ابنیه فنی</t>
  </si>
  <si>
    <t xml:space="preserve">  فصل بیستم: حمل و نقل</t>
  </si>
  <si>
    <t>200206</t>
  </si>
  <si>
    <t>حمل آهن الات و سیمان مازاد بر 750 کیلومتر</t>
  </si>
  <si>
    <t>250201</t>
  </si>
  <si>
    <t>نئوپرن</t>
  </si>
  <si>
    <t>دسیمترمکعب</t>
  </si>
  <si>
    <t>قیمت بر اساس قیمت های فهرست  راهداری 95</t>
  </si>
  <si>
    <t>قیمت بر اساس قیمت های فهرست  راهداری 1395</t>
  </si>
  <si>
    <t>ضریب منطقه</t>
  </si>
  <si>
    <t>10407</t>
  </si>
  <si>
    <t>10408</t>
  </si>
  <si>
    <t>تخریب کلی اسفالت</t>
  </si>
  <si>
    <t>اضافه بها 407 به ازای هر سانتی متر مازاد بر 5 سانتی متر</t>
  </si>
  <si>
    <t>اضافه بها به ردیف 10307 و 10308</t>
  </si>
  <si>
    <t>70103</t>
  </si>
  <si>
    <t>اندود سیمانی 3 سانتی متر</t>
  </si>
  <si>
    <t>اندود سیمانی 5 سانتی متر</t>
  </si>
  <si>
    <t>80101</t>
  </si>
  <si>
    <t>قالب بندی پی</t>
  </si>
  <si>
    <t>80201</t>
  </si>
  <si>
    <t>قالب بندی دیوار تا 2 متر</t>
  </si>
  <si>
    <t>90501</t>
  </si>
  <si>
    <t>تهیه و نصب میل مهار</t>
  </si>
  <si>
    <t>110305</t>
  </si>
  <si>
    <t>تهیه ، ساخت و نصب نرده</t>
  </si>
  <si>
    <t>20503</t>
  </si>
  <si>
    <t>30103</t>
  </si>
  <si>
    <t>خاکبرداری در زمین نرم</t>
  </si>
  <si>
    <t>30701</t>
  </si>
  <si>
    <t>پی کنی در زمین نرم</t>
  </si>
  <si>
    <t>تهیه و اجرای بتن با عیار 150 کیلوگرم سیمان در متر مکعب</t>
  </si>
  <si>
    <t>120103</t>
  </si>
  <si>
    <t>تهیه و اجرای بتن با عیار 200 کیلوگرم سیمان در متر مکعب</t>
  </si>
  <si>
    <t>120104</t>
  </si>
  <si>
    <t>تهیه و اجرای بتن با عیار 250 کیلوگرم سیمان در متر مکعب</t>
  </si>
  <si>
    <t>120201</t>
  </si>
  <si>
    <t>اضافه بها در صورت اجرا ضخامت 15 سانتی متر یا کمتر</t>
  </si>
  <si>
    <t>اضافه بها بتن ریزی با پمپ</t>
  </si>
  <si>
    <t>160301</t>
  </si>
  <si>
    <t>سمباده زنی</t>
  </si>
  <si>
    <t>160308</t>
  </si>
  <si>
    <t>تهیه مصالح و اجرای رویه اپوکسی ضخامت 100 میکرون</t>
  </si>
  <si>
    <t>250103</t>
  </si>
  <si>
    <t>تهیه مصالح و پر کردن درز کف با لاستیک متراکم شونده</t>
  </si>
  <si>
    <t>عملیات خاکی با دست</t>
  </si>
  <si>
    <t>ضرایب بالاسری،پیشنهادی ومنطقه</t>
  </si>
  <si>
    <t>پروژه نمونه 1</t>
  </si>
  <si>
    <t xml:space="preserve">پيمانکار : </t>
  </si>
  <si>
    <t>پيمانکار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</si>
</sst>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ريال&quot;\ #,##0.00_-"/>
    <numFmt numFmtId="165" formatCode="&quot;ريال&quot;\ #,##0_-"/>
    <numFmt numFmtId="166" formatCode="0.0"/>
    <numFmt numFmtId="167" formatCode="&quot;ريال&quot;\ #,##0.0_-"/>
    <numFmt numFmtId="168" formatCode="#,##0.0"/>
  </numFmts>
  <fonts count="34">
    <font>
      <sz val="10"/>
      <name val="Arial"/>
      <charset val="178"/>
    </font>
    <font>
      <sz val="8"/>
      <name val="Arial"/>
      <family val="2"/>
    </font>
    <font>
      <sz val="10"/>
      <name val="Arial"/>
      <family val="2"/>
    </font>
    <font>
      <b/>
      <sz val="10"/>
      <name val="Arial"/>
      <family val="2"/>
    </font>
    <font>
      <b/>
      <sz val="12"/>
      <name val="Arial"/>
      <family val="2"/>
    </font>
    <font>
      <b/>
      <sz val="11"/>
      <name val="Arial"/>
      <family val="2"/>
    </font>
    <font>
      <sz val="12"/>
      <name val="Arial"/>
      <family val="2"/>
    </font>
    <font>
      <sz val="14"/>
      <name val="Arial"/>
      <family val="2"/>
    </font>
    <font>
      <sz val="12"/>
      <color indexed="8"/>
      <name val="Zar"/>
      <charset val="178"/>
    </font>
    <font>
      <sz val="12"/>
      <color indexed="8"/>
      <name val="Lotus"/>
      <charset val="178"/>
    </font>
    <font>
      <b/>
      <sz val="11"/>
      <color indexed="8"/>
      <name val="Arial"/>
      <family val="2"/>
    </font>
    <font>
      <sz val="11"/>
      <color indexed="8"/>
      <name val="Arial"/>
      <family val="2"/>
    </font>
    <font>
      <sz val="11"/>
      <name val="Arial"/>
      <family val="2"/>
    </font>
    <font>
      <b/>
      <sz val="12"/>
      <color indexed="8"/>
      <name val="Lotus"/>
      <charset val="178"/>
    </font>
    <font>
      <sz val="9"/>
      <name val="Arial"/>
      <family val="2"/>
    </font>
    <font>
      <b/>
      <sz val="10"/>
      <color indexed="8"/>
      <name val="Lotus"/>
      <charset val="178"/>
    </font>
    <font>
      <sz val="10"/>
      <name val="Arial"/>
      <family val="2"/>
      <charset val="178"/>
    </font>
    <font>
      <sz val="10"/>
      <name val="2  Badr"/>
      <charset val="178"/>
    </font>
    <font>
      <b/>
      <sz val="10"/>
      <name val="2  Badr"/>
      <charset val="178"/>
    </font>
    <font>
      <b/>
      <sz val="11"/>
      <name val="2  Badr"/>
      <charset val="178"/>
    </font>
    <font>
      <sz val="11"/>
      <name val="2  Badr"/>
      <charset val="178"/>
    </font>
    <font>
      <b/>
      <sz val="12"/>
      <name val="2  Badr"/>
      <charset val="178"/>
    </font>
    <font>
      <sz val="14"/>
      <name val="2  Badr"/>
      <charset val="178"/>
    </font>
    <font>
      <sz val="12"/>
      <name val="2  Badr"/>
      <charset val="178"/>
    </font>
    <font>
      <sz val="11"/>
      <color theme="1"/>
      <name val="Calibri"/>
      <family val="2"/>
      <charset val="178"/>
      <scheme val="minor"/>
    </font>
    <font>
      <sz val="10"/>
      <color theme="1"/>
      <name val="Calibri"/>
      <family val="2"/>
      <charset val="178"/>
      <scheme val="minor"/>
    </font>
    <font>
      <sz val="10"/>
      <color indexed="81"/>
      <name val="Tahoma"/>
      <family val="2"/>
    </font>
    <font>
      <b/>
      <sz val="10"/>
      <color indexed="81"/>
      <name val="Tahoma"/>
      <family val="2"/>
    </font>
    <font>
      <sz val="8"/>
      <name val="2  Badr"/>
      <charset val="178"/>
    </font>
    <font>
      <sz val="10"/>
      <color rgb="FFFF0000"/>
      <name val="Arial"/>
      <family val="2"/>
    </font>
    <font>
      <sz val="16"/>
      <name val="2  Badr"/>
      <charset val="178"/>
    </font>
    <font>
      <b/>
      <sz val="16"/>
      <name val="2  Badr"/>
      <charset val="178"/>
    </font>
    <font>
      <b/>
      <sz val="16"/>
      <color indexed="8"/>
      <name val="2  Badr"/>
      <charset val="178"/>
    </font>
    <font>
      <b/>
      <sz val="14"/>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5">
    <xf numFmtId="0" fontId="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474">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Border="1"/>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2" borderId="1" xfId="0" applyFill="1" applyBorder="1" applyAlignment="1">
      <alignment horizontal="center" vertical="center" wrapText="1"/>
    </xf>
    <xf numFmtId="0" fontId="2" fillId="0" borderId="0" xfId="0" applyNumberFormat="1" applyFont="1" applyBorder="1" applyAlignment="1">
      <alignment horizontal="center" vertical="center" wrapText="1"/>
    </xf>
    <xf numFmtId="49" fontId="0" fillId="0" borderId="0" xfId="0" applyNumberFormat="1" applyAlignment="1">
      <alignment horizontal="center" wrapText="1"/>
    </xf>
    <xf numFmtId="0" fontId="0" fillId="0" borderId="0" xfId="0" applyBorder="1" applyAlignment="1">
      <alignment horizontal="center" vertical="center"/>
    </xf>
    <xf numFmtId="49" fontId="0" fillId="0" borderId="0" xfId="0" applyNumberFormat="1" applyBorder="1" applyAlignment="1">
      <alignment horizontal="center" wrapText="1"/>
    </xf>
    <xf numFmtId="0" fontId="0" fillId="0" borderId="5"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49" fontId="0" fillId="0" borderId="0" xfId="0" applyNumberFormat="1" applyAlignment="1">
      <alignment horizontal="center" vertical="center"/>
    </xf>
    <xf numFmtId="4" fontId="0" fillId="0" borderId="0" xfId="0" applyNumberFormat="1" applyAlignment="1">
      <alignment horizontal="center" vertical="center"/>
    </xf>
    <xf numFmtId="0" fontId="2" fillId="0" borderId="0" xfId="0" applyFont="1"/>
    <xf numFmtId="166" fontId="2" fillId="0" borderId="1" xfId="0" applyNumberFormat="1" applyFont="1" applyBorder="1" applyAlignment="1">
      <alignment horizontal="center" vertical="center" wrapText="1"/>
    </xf>
    <xf numFmtId="0" fontId="0" fillId="2" borderId="0" xfId="0" applyFill="1"/>
    <xf numFmtId="0" fontId="0" fillId="2" borderId="0" xfId="0" applyFill="1" applyBorder="1"/>
    <xf numFmtId="49" fontId="8"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shrinkToFit="1"/>
    </xf>
    <xf numFmtId="0" fontId="0" fillId="2" borderId="0" xfId="0" applyFill="1" applyAlignment="1">
      <alignment horizontal="center" vertical="center"/>
    </xf>
    <xf numFmtId="49" fontId="2" fillId="2" borderId="7" xfId="0" applyNumberFormat="1" applyFont="1" applyFill="1" applyBorder="1" applyAlignment="1">
      <alignment horizontal="center" vertical="center"/>
    </xf>
    <xf numFmtId="0" fontId="2" fillId="0" borderId="3" xfId="0" applyFont="1" applyBorder="1" applyAlignment="1">
      <alignment horizontal="center" vertical="center"/>
    </xf>
    <xf numFmtId="49" fontId="0" fillId="2" borderId="7" xfId="0" applyNumberFormat="1" applyFill="1" applyBorder="1" applyAlignment="1" applyProtection="1">
      <alignment horizontal="center" vertical="center"/>
      <protection locked="0"/>
    </xf>
    <xf numFmtId="3" fontId="2" fillId="0" borderId="0" xfId="0" applyNumberFormat="1" applyFont="1" applyBorder="1" applyAlignment="1">
      <alignment horizontal="center" vertical="center" wrapText="1"/>
    </xf>
    <xf numFmtId="49" fontId="2" fillId="2" borderId="7" xfId="0" applyNumberFormat="1" applyFont="1" applyFill="1" applyBorder="1" applyAlignment="1" applyProtection="1">
      <alignment horizontal="center" vertical="center"/>
      <protection locked="0"/>
    </xf>
    <xf numFmtId="0" fontId="3" fillId="0" borderId="5" xfId="0" applyFont="1" applyBorder="1" applyAlignment="1">
      <alignment horizontal="center" vertical="center" shrinkToFit="1"/>
    </xf>
    <xf numFmtId="0" fontId="2" fillId="2" borderId="1" xfId="0" applyFont="1" applyFill="1" applyBorder="1" applyAlignment="1">
      <alignment horizontal="center" vertical="center" wrapText="1"/>
    </xf>
    <xf numFmtId="0" fontId="0" fillId="0" borderId="8" xfId="0" applyBorder="1" applyAlignment="1">
      <alignment horizontal="right" vertical="center"/>
    </xf>
    <xf numFmtId="0" fontId="0" fillId="0" borderId="9" xfId="0" applyBorder="1" applyAlignment="1">
      <alignment vertical="center"/>
    </xf>
    <xf numFmtId="0" fontId="2" fillId="0" borderId="5" xfId="0" applyFont="1" applyBorder="1" applyAlignment="1">
      <alignment horizontal="center" vertical="center"/>
    </xf>
    <xf numFmtId="3" fontId="0" fillId="0" borderId="0" xfId="0" applyNumberFormat="1" applyBorder="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3" fontId="2" fillId="2" borderId="0" xfId="0" applyNumberFormat="1" applyFont="1" applyFill="1" applyBorder="1" applyAlignment="1">
      <alignment horizontal="center" vertical="center" wrapText="1"/>
    </xf>
    <xf numFmtId="3" fontId="0" fillId="2" borderId="0" xfId="0" applyNumberFormat="1" applyFill="1" applyBorder="1" applyAlignment="1">
      <alignment horizontal="center" vertical="center" wrapText="1"/>
    </xf>
    <xf numFmtId="0" fontId="0" fillId="2" borderId="0" xfId="0" applyFill="1" applyBorder="1" applyAlignment="1">
      <alignment horizontal="center" vertical="center" wrapText="1"/>
    </xf>
    <xf numFmtId="1" fontId="0" fillId="2" borderId="0" xfId="0" applyNumberFormat="1" applyFill="1" applyAlignment="1">
      <alignment horizontal="center" vertical="center"/>
    </xf>
    <xf numFmtId="0" fontId="2" fillId="2" borderId="0" xfId="0" applyNumberFormat="1" applyFont="1" applyFill="1" applyBorder="1" applyAlignment="1">
      <alignment horizontal="center" vertical="center" wrapText="1"/>
    </xf>
    <xf numFmtId="0" fontId="7" fillId="0" borderId="3" xfId="0" applyFont="1" applyBorder="1" applyAlignment="1">
      <alignment horizontal="center" vertical="center"/>
    </xf>
    <xf numFmtId="49" fontId="11" fillId="0" borderId="10" xfId="0" applyNumberFormat="1" applyFont="1" applyBorder="1" applyAlignment="1">
      <alignment vertical="center" wrapText="1"/>
    </xf>
    <xf numFmtId="0" fontId="0" fillId="0" borderId="11" xfId="0"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wrapText="1"/>
    </xf>
    <xf numFmtId="0" fontId="2" fillId="0" borderId="4" xfId="0" applyFont="1" applyBorder="1" applyAlignment="1">
      <alignment horizontal="center" vertical="center" shrinkToFit="1"/>
    </xf>
    <xf numFmtId="49" fontId="2" fillId="2" borderId="12" xfId="0" applyNumberFormat="1"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14" xfId="0" applyBorder="1" applyAlignment="1">
      <alignment horizontal="center" vertical="center" wrapText="1"/>
    </xf>
    <xf numFmtId="0" fontId="0" fillId="0" borderId="14" xfId="0" applyBorder="1" applyAlignment="1">
      <alignment horizontal="center" vertical="top"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Border="1" applyAlignment="1">
      <alignment horizontal="center" vertical="top" wrapText="1"/>
    </xf>
    <xf numFmtId="0" fontId="0" fillId="0" borderId="16" xfId="0" applyBorder="1" applyAlignment="1">
      <alignment horizontal="center" vertical="center" wrapText="1"/>
    </xf>
    <xf numFmtId="49" fontId="2" fillId="2" borderId="12" xfId="0" applyNumberFormat="1" applyFont="1" applyFill="1" applyBorder="1" applyAlignment="1">
      <alignment horizontal="center" vertical="center" shrinkToFit="1"/>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shrinkToFit="1"/>
    </xf>
    <xf numFmtId="0" fontId="5" fillId="0" borderId="8" xfId="0" applyFont="1" applyBorder="1" applyAlignment="1">
      <alignment horizontal="righ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2" borderId="10" xfId="0" applyFont="1" applyFill="1" applyBorder="1" applyAlignment="1">
      <alignment horizontal="center" vertical="center"/>
    </xf>
    <xf numFmtId="49" fontId="10" fillId="0" borderId="10" xfId="0" applyNumberFormat="1" applyFont="1" applyBorder="1" applyAlignment="1">
      <alignment vertical="center" wrapText="1"/>
    </xf>
    <xf numFmtId="0" fontId="3" fillId="0" borderId="20" xfId="0" applyFont="1" applyBorder="1" applyAlignment="1">
      <alignment horizontal="center" vertical="center"/>
    </xf>
    <xf numFmtId="0" fontId="3" fillId="0" borderId="9" xfId="0" applyFont="1" applyBorder="1" applyAlignment="1">
      <alignment vertical="center"/>
    </xf>
    <xf numFmtId="1" fontId="0" fillId="0" borderId="0" xfId="0" applyNumberFormat="1" applyBorder="1" applyAlignment="1">
      <alignment horizontal="center" vertical="center" wrapText="1"/>
    </xf>
    <xf numFmtId="0" fontId="0" fillId="0" borderId="0" xfId="0" applyBorder="1" applyAlignment="1">
      <alignment horizontal="center" vertical="top" wrapText="1"/>
    </xf>
    <xf numFmtId="0" fontId="0" fillId="0" borderId="9" xfId="0" applyBorder="1" applyAlignment="1">
      <alignment horizontal="center" vertical="center"/>
    </xf>
    <xf numFmtId="0" fontId="2" fillId="0" borderId="16" xfId="0" applyFont="1" applyBorder="1" applyAlignment="1">
      <alignment horizontal="center" vertical="center" shrinkToFit="1"/>
    </xf>
    <xf numFmtId="0" fontId="7" fillId="0" borderId="21" xfId="0" applyFont="1" applyBorder="1" applyAlignment="1">
      <alignment horizontal="center" vertical="center"/>
    </xf>
    <xf numFmtId="3" fontId="0" fillId="0" borderId="9" xfId="0" applyNumberFormat="1" applyBorder="1" applyAlignment="1">
      <alignment horizontal="center" vertical="center" wrapText="1"/>
    </xf>
    <xf numFmtId="3" fontId="0" fillId="2" borderId="9" xfId="0" applyNumberFormat="1" applyFill="1" applyBorder="1" applyAlignment="1">
      <alignment horizontal="center" vertical="center" wrapText="1"/>
    </xf>
    <xf numFmtId="0" fontId="0" fillId="0" borderId="9" xfId="0" applyFill="1" applyBorder="1" applyAlignment="1">
      <alignment horizontal="center" vertical="center" wrapText="1"/>
    </xf>
    <xf numFmtId="168" fontId="0" fillId="0" borderId="0" xfId="0" applyNumberFormat="1" applyAlignment="1">
      <alignment horizontal="center" vertical="center"/>
    </xf>
    <xf numFmtId="168" fontId="3" fillId="0" borderId="10" xfId="0" applyNumberFormat="1" applyFont="1" applyBorder="1" applyAlignment="1">
      <alignment horizontal="center" vertical="center"/>
    </xf>
    <xf numFmtId="168" fontId="2" fillId="2" borderId="1" xfId="0" applyNumberFormat="1" applyFont="1" applyFill="1" applyBorder="1" applyAlignment="1">
      <alignment horizontal="center" vertical="center"/>
    </xf>
    <xf numFmtId="168" fontId="2" fillId="2" borderId="1" xfId="0" applyNumberFormat="1" applyFont="1" applyFill="1" applyBorder="1" applyAlignment="1">
      <alignment horizontal="center" vertical="center" wrapText="1"/>
    </xf>
    <xf numFmtId="168" fontId="2" fillId="0" borderId="0"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168" fontId="0" fillId="0" borderId="0" xfId="0" applyNumberFormat="1" applyBorder="1" applyAlignment="1">
      <alignment horizontal="center" vertical="center" wrapText="1"/>
    </xf>
    <xf numFmtId="168" fontId="0" fillId="0" borderId="9" xfId="0" applyNumberFormat="1" applyBorder="1" applyAlignment="1">
      <alignment horizontal="center" vertical="center" wrapText="1"/>
    </xf>
    <xf numFmtId="168" fontId="2" fillId="0" borderId="16" xfId="0" applyNumberFormat="1" applyFont="1" applyBorder="1" applyAlignment="1">
      <alignment horizontal="center" vertical="center" wrapText="1"/>
    </xf>
    <xf numFmtId="0" fontId="2" fillId="0" borderId="0" xfId="0" applyFont="1" applyAlignment="1">
      <alignment horizontal="center" vertical="center" shrinkToFit="1"/>
    </xf>
    <xf numFmtId="0" fontId="2" fillId="2" borderId="1" xfId="0" applyFont="1" applyFill="1" applyBorder="1" applyAlignment="1">
      <alignment horizontal="center" vertical="center" shrinkToFit="1"/>
    </xf>
    <xf numFmtId="3" fontId="2" fillId="0" borderId="0" xfId="0" applyNumberFormat="1" applyFont="1" applyBorder="1" applyAlignment="1">
      <alignment horizontal="center" vertical="center" shrinkToFit="1"/>
    </xf>
    <xf numFmtId="3" fontId="2" fillId="0" borderId="9" xfId="0" applyNumberFormat="1" applyFont="1" applyBorder="1" applyAlignment="1">
      <alignment horizontal="center" vertical="center" shrinkToFit="1"/>
    </xf>
    <xf numFmtId="3" fontId="2" fillId="0" borderId="1" xfId="0" applyNumberFormat="1" applyFont="1" applyBorder="1" applyAlignment="1">
      <alignment horizontal="center" vertical="center" shrinkToFit="1"/>
    </xf>
    <xf numFmtId="0" fontId="0" fillId="3" borderId="0" xfId="0" applyFill="1"/>
    <xf numFmtId="0" fontId="0" fillId="3" borderId="3" xfId="0" applyFill="1" applyBorder="1" applyAlignment="1">
      <alignment horizontal="center" vertical="center"/>
    </xf>
    <xf numFmtId="0" fontId="2" fillId="3" borderId="3" xfId="0" applyFont="1" applyFill="1" applyBorder="1" applyAlignment="1">
      <alignment horizontal="center" vertical="center"/>
    </xf>
    <xf numFmtId="0" fontId="0" fillId="3" borderId="3" xfId="0" applyFill="1" applyBorder="1" applyAlignment="1">
      <alignment horizontal="center" vertical="justify"/>
    </xf>
    <xf numFmtId="168" fontId="14" fillId="0" borderId="1" xfId="0" applyNumberFormat="1" applyFont="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3" fontId="3" fillId="0" borderId="6" xfId="0" applyNumberFormat="1" applyFont="1" applyBorder="1" applyAlignment="1">
      <alignment horizontal="center" vertical="center"/>
    </xf>
    <xf numFmtId="3" fontId="3" fillId="0" borderId="5" xfId="0" applyNumberFormat="1" applyFont="1" applyBorder="1" applyAlignment="1">
      <alignment horizontal="center" vertical="center" wrapText="1"/>
    </xf>
    <xf numFmtId="0" fontId="3" fillId="3" borderId="6" xfId="0" applyFont="1" applyFill="1" applyBorder="1" applyAlignment="1">
      <alignment horizontal="center" vertical="center"/>
    </xf>
    <xf numFmtId="3" fontId="3" fillId="0" borderId="5" xfId="0" applyNumberFormat="1" applyFont="1" applyBorder="1" applyAlignment="1">
      <alignment horizontal="center" vertical="center" shrinkToFit="1"/>
    </xf>
    <xf numFmtId="0" fontId="2" fillId="0" borderId="14" xfId="0" applyFont="1" applyBorder="1" applyAlignment="1">
      <alignment horizontal="center" vertical="center" wrapText="1"/>
    </xf>
    <xf numFmtId="49" fontId="2" fillId="2" borderId="22" xfId="0" applyNumberFormat="1" applyFont="1" applyFill="1" applyBorder="1" applyAlignment="1" applyProtection="1">
      <alignment horizontal="center" vertical="center"/>
      <protection locked="0"/>
    </xf>
    <xf numFmtId="0" fontId="0" fillId="3" borderId="11" xfId="0" applyFill="1" applyBorder="1" applyAlignment="1">
      <alignment horizontal="center" vertical="center"/>
    </xf>
    <xf numFmtId="0" fontId="25" fillId="0" borderId="1" xfId="12" applyFont="1" applyBorder="1" applyAlignment="1">
      <alignment vertical="distributed"/>
    </xf>
    <xf numFmtId="0" fontId="25" fillId="0" borderId="1" xfId="13" applyFont="1" applyBorder="1" applyAlignment="1">
      <alignment vertical="distributed"/>
    </xf>
    <xf numFmtId="0" fontId="25" fillId="0" borderId="1" xfId="14" applyFont="1" applyBorder="1" applyAlignment="1">
      <alignment vertical="distributed"/>
    </xf>
    <xf numFmtId="0" fontId="25" fillId="0" borderId="1" xfId="1" applyFont="1" applyBorder="1" applyAlignment="1">
      <alignment vertical="distributed"/>
    </xf>
    <xf numFmtId="0" fontId="25" fillId="0" borderId="1" xfId="2" applyFont="1" applyBorder="1" applyAlignment="1">
      <alignment vertical="distributed"/>
    </xf>
    <xf numFmtId="0" fontId="25" fillId="0" borderId="1" xfId="3" applyFont="1" applyBorder="1" applyAlignment="1">
      <alignment vertical="distributed"/>
    </xf>
    <xf numFmtId="0" fontId="16" fillId="0" borderId="1" xfId="0" applyFont="1" applyBorder="1" applyAlignment="1">
      <alignment horizontal="center" vertical="distributed"/>
    </xf>
    <xf numFmtId="0" fontId="24" fillId="0" borderId="1" xfId="4" applyBorder="1" applyAlignment="1">
      <alignment vertical="distributed"/>
    </xf>
    <xf numFmtId="168" fontId="3" fillId="0" borderId="6" xfId="0" applyNumberFormat="1" applyFont="1" applyBorder="1" applyAlignment="1">
      <alignment horizontal="center" vertical="center"/>
    </xf>
    <xf numFmtId="168" fontId="3" fillId="0" borderId="5" xfId="0" applyNumberFormat="1" applyFont="1" applyBorder="1" applyAlignment="1">
      <alignment horizontal="center" vertical="center" wrapText="1"/>
    </xf>
    <xf numFmtId="168" fontId="3" fillId="0" borderId="5" xfId="0" applyNumberFormat="1" applyFont="1" applyBorder="1" applyAlignment="1">
      <alignment horizontal="center" vertical="center" shrinkToFit="1"/>
    </xf>
    <xf numFmtId="168" fontId="3" fillId="0" borderId="5" xfId="0" applyNumberFormat="1" applyFont="1" applyFill="1" applyBorder="1" applyAlignment="1">
      <alignment horizontal="center" vertical="center" wrapText="1"/>
    </xf>
    <xf numFmtId="49" fontId="15" fillId="0" borderId="10" xfId="0" applyNumberFormat="1" applyFont="1" applyBorder="1" applyAlignment="1">
      <alignment horizontal="center" vertical="center" wrapText="1"/>
    </xf>
    <xf numFmtId="0" fontId="3" fillId="0" borderId="9" xfId="0" applyFont="1" applyBorder="1" applyAlignment="1">
      <alignment horizontal="center" vertical="center"/>
    </xf>
    <xf numFmtId="0" fontId="25" fillId="0" borderId="1" xfId="5" applyFont="1" applyBorder="1" applyAlignment="1">
      <alignment vertical="distributed"/>
    </xf>
    <xf numFmtId="0" fontId="25" fillId="0" borderId="1" xfId="6" applyFont="1" applyBorder="1" applyAlignment="1">
      <alignment vertical="distributed"/>
    </xf>
    <xf numFmtId="0" fontId="25" fillId="0" borderId="1" xfId="8" applyFont="1" applyBorder="1" applyAlignment="1">
      <alignment vertical="distributed"/>
    </xf>
    <xf numFmtId="0" fontId="25" fillId="0" borderId="1" xfId="9" applyFont="1" applyBorder="1"/>
    <xf numFmtId="168" fontId="14" fillId="2" borderId="1" xfId="0" applyNumberFormat="1" applyFont="1" applyFill="1" applyBorder="1" applyAlignment="1">
      <alignment horizontal="center" vertical="center"/>
    </xf>
    <xf numFmtId="168" fontId="0" fillId="0" borderId="6" xfId="0" applyNumberFormat="1" applyBorder="1" applyAlignment="1">
      <alignment horizontal="center" vertical="center"/>
    </xf>
    <xf numFmtId="49" fontId="13" fillId="2" borderId="10" xfId="0" applyNumberFormat="1" applyFont="1" applyFill="1" applyBorder="1" applyAlignment="1">
      <alignment horizontal="center" vertical="center"/>
    </xf>
    <xf numFmtId="49" fontId="13" fillId="0" borderId="10" xfId="0" applyNumberFormat="1" applyFont="1" applyBorder="1" applyAlignment="1">
      <alignment horizontal="center" vertical="center" wrapText="1"/>
    </xf>
    <xf numFmtId="168" fontId="3" fillId="0" borderId="9" xfId="0" applyNumberFormat="1" applyFont="1" applyBorder="1" applyAlignment="1">
      <alignment horizontal="center" vertical="center"/>
    </xf>
    <xf numFmtId="0" fontId="3" fillId="2" borderId="9" xfId="0" applyFont="1" applyFill="1" applyBorder="1" applyAlignment="1">
      <alignment horizontal="center" vertical="center"/>
    </xf>
    <xf numFmtId="3" fontId="25" fillId="0" borderId="1" xfId="5" applyNumberFormat="1" applyFont="1" applyBorder="1" applyAlignment="1">
      <alignment horizontal="center" vertical="center"/>
    </xf>
    <xf numFmtId="3" fontId="25" fillId="0" borderId="1" xfId="6" applyNumberFormat="1" applyFont="1" applyBorder="1" applyAlignment="1">
      <alignment horizontal="center" vertical="center"/>
    </xf>
    <xf numFmtId="3" fontId="25" fillId="0" borderId="1" xfId="7" applyNumberFormat="1" applyFont="1" applyBorder="1" applyAlignment="1">
      <alignment horizontal="center" vertical="center"/>
    </xf>
    <xf numFmtId="3" fontId="25" fillId="0" borderId="1" xfId="8" applyNumberFormat="1" applyFont="1" applyBorder="1" applyAlignment="1">
      <alignment horizontal="center" vertical="center"/>
    </xf>
    <xf numFmtId="3" fontId="25" fillId="0" borderId="1" xfId="9" applyNumberFormat="1" applyFont="1" applyBorder="1" applyAlignment="1">
      <alignment horizontal="center"/>
    </xf>
    <xf numFmtId="0" fontId="25" fillId="0" borderId="1" xfId="12" applyFont="1" applyBorder="1" applyAlignment="1">
      <alignment horizontal="center"/>
    </xf>
    <xf numFmtId="0" fontId="25" fillId="0" borderId="1" xfId="13" applyFont="1" applyBorder="1" applyAlignment="1">
      <alignment horizontal="center"/>
    </xf>
    <xf numFmtId="0" fontId="25" fillId="0" borderId="1" xfId="14" applyFont="1" applyBorder="1" applyAlignment="1">
      <alignment horizontal="center"/>
    </xf>
    <xf numFmtId="0" fontId="25" fillId="0" borderId="1" xfId="1" applyFont="1" applyBorder="1" applyAlignment="1">
      <alignment horizontal="center"/>
    </xf>
    <xf numFmtId="0" fontId="25" fillId="0" borderId="1" xfId="2" applyFont="1" applyBorder="1" applyAlignment="1">
      <alignment horizontal="center"/>
    </xf>
    <xf numFmtId="0" fontId="25" fillId="0" borderId="1" xfId="3" applyFont="1" applyBorder="1" applyAlignment="1">
      <alignment horizontal="center"/>
    </xf>
    <xf numFmtId="0" fontId="24" fillId="0" borderId="1" xfId="4" applyBorder="1" applyAlignment="1">
      <alignment horizontal="center"/>
    </xf>
    <xf numFmtId="0" fontId="25" fillId="0" borderId="1" xfId="5" applyFont="1" applyBorder="1" applyAlignment="1">
      <alignment horizontal="center"/>
    </xf>
    <xf numFmtId="0" fontId="25" fillId="0" borderId="1" xfId="6" applyFont="1" applyBorder="1" applyAlignment="1">
      <alignment horizontal="center"/>
    </xf>
    <xf numFmtId="0" fontId="25" fillId="0" borderId="1" xfId="7" applyFont="1" applyBorder="1" applyAlignment="1">
      <alignment horizontal="center"/>
    </xf>
    <xf numFmtId="0" fontId="25" fillId="0" borderId="1" xfId="8" applyFont="1" applyBorder="1" applyAlignment="1">
      <alignment horizontal="center"/>
    </xf>
    <xf numFmtId="0" fontId="25" fillId="0" borderId="1" xfId="9" applyFont="1" applyBorder="1" applyAlignment="1">
      <alignment horizontal="center"/>
    </xf>
    <xf numFmtId="168" fontId="3" fillId="0" borderId="4" xfId="0" applyNumberFormat="1" applyFont="1" applyFill="1" applyBorder="1" applyAlignment="1">
      <alignment horizontal="center" vertical="center" wrapText="1"/>
    </xf>
    <xf numFmtId="0" fontId="2" fillId="0" borderId="23" xfId="0" applyFont="1" applyBorder="1" applyAlignment="1">
      <alignment horizontal="center" vertical="center" wrapText="1"/>
    </xf>
    <xf numFmtId="0" fontId="24" fillId="0" borderId="1" xfId="10" applyBorder="1"/>
    <xf numFmtId="0" fontId="24" fillId="0" borderId="1" xfId="10" applyBorder="1" applyAlignment="1">
      <alignment vertical="justify"/>
    </xf>
    <xf numFmtId="2" fontId="14" fillId="0" borderId="1" xfId="0" applyNumberFormat="1" applyFont="1" applyBorder="1" applyAlignment="1">
      <alignment horizontal="center" vertical="center" wrapText="1"/>
    </xf>
    <xf numFmtId="0" fontId="25" fillId="0" borderId="1" xfId="10" applyFont="1" applyBorder="1" applyAlignment="1">
      <alignment horizontal="center"/>
    </xf>
    <xf numFmtId="0" fontId="3" fillId="0" borderId="5" xfId="0" applyFont="1" applyBorder="1" applyAlignment="1">
      <alignment horizontal="center" vertical="top" wrapText="1"/>
    </xf>
    <xf numFmtId="168" fontId="3" fillId="0" borderId="0" xfId="0" applyNumberFormat="1" applyFont="1"/>
    <xf numFmtId="168" fontId="3" fillId="0" borderId="14" xfId="0" applyNumberFormat="1" applyFont="1" applyFill="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49" fontId="9" fillId="0" borderId="26" xfId="0" applyNumberFormat="1" applyFont="1" applyBorder="1" applyAlignment="1">
      <alignment horizontal="center" vertical="center" wrapText="1"/>
    </xf>
    <xf numFmtId="0" fontId="3" fillId="0" borderId="27" xfId="0" applyFont="1" applyBorder="1" applyAlignment="1">
      <alignment horizontal="center" vertical="center"/>
    </xf>
    <xf numFmtId="0" fontId="0" fillId="0" borderId="21" xfId="0" applyBorder="1" applyAlignment="1">
      <alignment horizontal="center" vertical="center" wrapText="1"/>
    </xf>
    <xf numFmtId="168" fontId="3" fillId="0" borderId="0" xfId="0" applyNumberFormat="1" applyFont="1" applyAlignment="1"/>
    <xf numFmtId="168" fontId="3" fillId="0" borderId="6" xfId="0" applyNumberFormat="1" applyFont="1" applyBorder="1" applyAlignment="1">
      <alignment horizontal="center"/>
    </xf>
    <xf numFmtId="168" fontId="3" fillId="0" borderId="14" xfId="0" applyNumberFormat="1" applyFont="1" applyBorder="1" applyAlignment="1">
      <alignment horizontal="center" wrapText="1"/>
    </xf>
    <xf numFmtId="168" fontId="3" fillId="0" borderId="5" xfId="0" applyNumberFormat="1" applyFont="1" applyBorder="1" applyAlignment="1">
      <alignment horizontal="center" wrapText="1"/>
    </xf>
    <xf numFmtId="168" fontId="3" fillId="0" borderId="5" xfId="0" applyNumberFormat="1" applyFont="1" applyBorder="1" applyAlignment="1">
      <alignment horizontal="center" shrinkToFit="1"/>
    </xf>
    <xf numFmtId="168" fontId="3" fillId="0" borderId="5" xfId="0" applyNumberFormat="1" applyFont="1" applyFill="1" applyBorder="1" applyAlignment="1">
      <alignment horizontal="center" wrapText="1"/>
    </xf>
    <xf numFmtId="168" fontId="3" fillId="0" borderId="14" xfId="0" applyNumberFormat="1" applyFont="1" applyFill="1" applyBorder="1" applyAlignment="1">
      <alignment horizontal="center" wrapText="1"/>
    </xf>
    <xf numFmtId="0" fontId="0" fillId="0" borderId="6" xfId="0" applyBorder="1" applyAlignment="1">
      <alignment horizontal="center" vertical="center" wrapText="1"/>
    </xf>
    <xf numFmtId="0" fontId="0" fillId="0" borderId="28" xfId="0" applyBorder="1" applyAlignment="1">
      <alignment horizontal="center" vertical="center"/>
    </xf>
    <xf numFmtId="168" fontId="2" fillId="0" borderId="29" xfId="0" applyNumberFormat="1" applyFont="1" applyBorder="1" applyAlignment="1">
      <alignment horizontal="center" vertical="center" wrapText="1"/>
    </xf>
    <xf numFmtId="0" fontId="2" fillId="0" borderId="29" xfId="0" applyFont="1" applyBorder="1" applyAlignment="1">
      <alignment horizontal="center" vertical="center" wrapText="1"/>
    </xf>
    <xf numFmtId="0" fontId="2" fillId="2" borderId="29" xfId="0" applyFont="1" applyFill="1" applyBorder="1" applyAlignment="1">
      <alignment horizontal="center" vertical="center" wrapText="1"/>
    </xf>
    <xf numFmtId="0" fontId="2" fillId="0" borderId="29" xfId="0" applyFont="1" applyBorder="1" applyAlignment="1">
      <alignment horizontal="center" vertical="center" shrinkToFit="1"/>
    </xf>
    <xf numFmtId="168" fontId="2" fillId="0" borderId="1" xfId="0" applyNumberFormat="1" applyFont="1" applyBorder="1" applyAlignment="1">
      <alignment horizontal="center" vertical="center" wrapText="1"/>
    </xf>
    <xf numFmtId="168" fontId="14" fillId="0" borderId="1" xfId="0" applyNumberFormat="1" applyFont="1" applyBorder="1" applyAlignment="1">
      <alignment horizontal="center" vertical="center" wrapText="1"/>
    </xf>
    <xf numFmtId="0" fontId="0" fillId="0" borderId="30" xfId="0" applyBorder="1" applyAlignment="1">
      <alignment horizontal="center" vertical="center"/>
    </xf>
    <xf numFmtId="168" fontId="3" fillId="0" borderId="31" xfId="0" applyNumberFormat="1" applyFont="1" applyBorder="1" applyAlignment="1">
      <alignment horizontal="center" vertical="center" wrapText="1"/>
    </xf>
    <xf numFmtId="168" fontId="3" fillId="0" borderId="31" xfId="0" applyNumberFormat="1" applyFont="1" applyBorder="1" applyAlignment="1">
      <alignment horizontal="center" vertical="center" shrinkToFit="1"/>
    </xf>
    <xf numFmtId="0" fontId="0" fillId="0" borderId="32" xfId="0" applyBorder="1" applyAlignment="1">
      <alignment horizontal="center" vertical="center" wrapText="1"/>
    </xf>
    <xf numFmtId="168" fontId="2" fillId="0" borderId="5" xfId="0" applyNumberFormat="1" applyFont="1" applyBorder="1" applyAlignment="1">
      <alignment horizontal="center" vertical="center" wrapText="1"/>
    </xf>
    <xf numFmtId="0" fontId="2" fillId="0" borderId="5" xfId="0" applyFont="1" applyBorder="1" applyAlignment="1">
      <alignment horizontal="center" vertical="top" wrapText="1"/>
    </xf>
    <xf numFmtId="168" fontId="3" fillId="0" borderId="8" xfId="0" applyNumberFormat="1" applyFont="1" applyBorder="1" applyAlignment="1">
      <alignment horizontal="center" vertical="center"/>
    </xf>
    <xf numFmtId="168" fontId="13" fillId="0" borderId="10" xfId="0" applyNumberFormat="1" applyFont="1" applyBorder="1" applyAlignment="1">
      <alignment horizontal="center" vertical="center" wrapText="1"/>
    </xf>
    <xf numFmtId="168" fontId="3" fillId="0" borderId="29" xfId="0" applyNumberFormat="1" applyFont="1" applyBorder="1" applyAlignment="1">
      <alignment horizontal="center" vertical="center"/>
    </xf>
    <xf numFmtId="168" fontId="3" fillId="0" borderId="15" xfId="0" applyNumberFormat="1" applyFont="1" applyBorder="1" applyAlignment="1">
      <alignment horizontal="center" vertical="center"/>
    </xf>
    <xf numFmtId="0" fontId="2" fillId="3" borderId="1" xfId="0" applyFont="1" applyFill="1" applyBorder="1" applyAlignment="1">
      <alignment horizontal="center" vertical="center"/>
    </xf>
    <xf numFmtId="49" fontId="0" fillId="2" borderId="0" xfId="0" applyNumberFormat="1" applyFill="1" applyAlignment="1">
      <alignment horizontal="center" vertical="center"/>
    </xf>
    <xf numFmtId="49" fontId="0" fillId="0" borderId="33" xfId="0" applyNumberFormat="1" applyBorder="1" applyAlignment="1">
      <alignment horizontal="center" vertical="center"/>
    </xf>
    <xf numFmtId="49" fontId="2" fillId="2" borderId="22" xfId="0" applyNumberFormat="1" applyFont="1" applyFill="1" applyBorder="1" applyAlignment="1">
      <alignment horizontal="center" vertical="center"/>
    </xf>
    <xf numFmtId="49" fontId="0" fillId="2" borderId="7" xfId="0" applyNumberFormat="1" applyFill="1" applyBorder="1" applyAlignment="1">
      <alignment horizontal="center" vertical="center"/>
    </xf>
    <xf numFmtId="49" fontId="2" fillId="2" borderId="0" xfId="0" applyNumberFormat="1" applyFont="1" applyFill="1" applyBorder="1" applyAlignment="1">
      <alignment horizontal="center" vertical="center"/>
    </xf>
    <xf numFmtId="49" fontId="0" fillId="2" borderId="22" xfId="0" applyNumberFormat="1" applyFill="1" applyBorder="1" applyAlignment="1">
      <alignment horizontal="center" vertical="center"/>
    </xf>
    <xf numFmtId="49" fontId="0" fillId="2" borderId="0" xfId="0" applyNumberFormat="1" applyFill="1" applyBorder="1" applyAlignment="1">
      <alignment horizontal="center" vertical="center"/>
    </xf>
    <xf numFmtId="49" fontId="0" fillId="2" borderId="9" xfId="0" applyNumberFormat="1" applyFill="1" applyBorder="1" applyAlignment="1">
      <alignment horizontal="center" vertical="center"/>
    </xf>
    <xf numFmtId="49" fontId="2" fillId="2" borderId="34" xfId="0" applyNumberFormat="1" applyFont="1" applyFill="1" applyBorder="1" applyAlignment="1">
      <alignment horizontal="center" vertical="center"/>
    </xf>
    <xf numFmtId="49" fontId="0" fillId="2" borderId="12" xfId="0" applyNumberFormat="1" applyFill="1" applyBorder="1" applyAlignment="1">
      <alignment horizontal="center" vertical="center"/>
    </xf>
    <xf numFmtId="49" fontId="0" fillId="2" borderId="34" xfId="0" applyNumberFormat="1" applyFill="1" applyBorder="1" applyAlignment="1">
      <alignment horizontal="center" vertical="center"/>
    </xf>
    <xf numFmtId="49" fontId="2" fillId="2" borderId="35"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0" fillId="2" borderId="37" xfId="0" applyNumberFormat="1" applyFill="1" applyBorder="1" applyAlignment="1">
      <alignment horizontal="center" vertical="center"/>
    </xf>
    <xf numFmtId="49" fontId="0" fillId="0" borderId="38" xfId="0" applyNumberFormat="1" applyBorder="1" applyAlignment="1">
      <alignment horizontal="center" vertical="center"/>
    </xf>
    <xf numFmtId="49" fontId="3" fillId="2" borderId="22" xfId="0" applyNumberFormat="1" applyFont="1" applyFill="1" applyBorder="1" applyAlignment="1">
      <alignment horizontal="center"/>
    </xf>
    <xf numFmtId="0" fontId="25" fillId="0" borderId="1" xfId="7" applyFont="1" applyBorder="1" applyAlignment="1">
      <alignment vertical="distributed" wrapText="1"/>
    </xf>
    <xf numFmtId="166" fontId="2" fillId="0" borderId="1" xfId="0" applyNumberFormat="1" applyFont="1" applyBorder="1" applyAlignment="1">
      <alignment horizontal="center" vertical="center"/>
    </xf>
    <xf numFmtId="0" fontId="2" fillId="0" borderId="39" xfId="0" applyFont="1" applyBorder="1" applyAlignment="1">
      <alignment horizontal="center" vertical="center"/>
    </xf>
    <xf numFmtId="0" fontId="2" fillId="2" borderId="4" xfId="0" applyFont="1" applyFill="1" applyBorder="1" applyAlignment="1">
      <alignment horizontal="center" vertical="center" shrinkToFit="1"/>
    </xf>
    <xf numFmtId="0" fontId="2" fillId="2" borderId="4" xfId="0" applyFont="1" applyFill="1" applyBorder="1" applyAlignment="1">
      <alignment horizontal="center" vertical="top" wrapText="1"/>
    </xf>
    <xf numFmtId="49" fontId="8" fillId="2" borderId="12" xfId="0" applyNumberFormat="1" applyFont="1" applyFill="1" applyBorder="1" applyAlignment="1">
      <alignment horizontal="center" vertical="center" wrapText="1"/>
    </xf>
    <xf numFmtId="0" fontId="7" fillId="3" borderId="3" xfId="0" applyFont="1" applyFill="1" applyBorder="1" applyAlignment="1">
      <alignment horizontal="center" vertical="center"/>
    </xf>
    <xf numFmtId="0" fontId="25" fillId="0" borderId="1" xfId="11" applyFont="1" applyBorder="1" applyAlignment="1">
      <alignment horizontal="center"/>
    </xf>
    <xf numFmtId="0" fontId="25" fillId="0" borderId="1" xfId="11" applyFont="1" applyBorder="1" applyAlignment="1">
      <alignment vertical="distributed"/>
    </xf>
    <xf numFmtId="2" fontId="2" fillId="0" borderId="1" xfId="0" applyNumberFormat="1" applyFont="1" applyBorder="1" applyAlignment="1">
      <alignment horizontal="center"/>
    </xf>
    <xf numFmtId="2" fontId="25" fillId="0" borderId="1" xfId="11" applyNumberFormat="1" applyFont="1" applyBorder="1" applyAlignment="1">
      <alignment horizontal="center"/>
    </xf>
    <xf numFmtId="2" fontId="25" fillId="0" borderId="1" xfId="12" applyNumberFormat="1" applyFont="1" applyBorder="1" applyAlignment="1">
      <alignment horizontal="center"/>
    </xf>
    <xf numFmtId="2" fontId="25" fillId="0" borderId="1" xfId="13" applyNumberFormat="1" applyFont="1" applyBorder="1" applyAlignment="1">
      <alignment horizontal="center"/>
    </xf>
    <xf numFmtId="2" fontId="25" fillId="0" borderId="1" xfId="14" applyNumberFormat="1" applyFont="1" applyBorder="1" applyAlignment="1">
      <alignment horizontal="center"/>
    </xf>
    <xf numFmtId="2" fontId="25" fillId="0" borderId="1" xfId="1" applyNumberFormat="1" applyFont="1" applyBorder="1" applyAlignment="1">
      <alignment horizontal="center"/>
    </xf>
    <xf numFmtId="2" fontId="25" fillId="0" borderId="1" xfId="2" applyNumberFormat="1" applyFont="1" applyBorder="1" applyAlignment="1">
      <alignment horizontal="center"/>
    </xf>
    <xf numFmtId="2" fontId="25" fillId="0" borderId="1" xfId="3" applyNumberFormat="1" applyFont="1" applyBorder="1" applyAlignment="1">
      <alignment horizontal="center"/>
    </xf>
    <xf numFmtId="2" fontId="16" fillId="0" borderId="1" xfId="0" applyNumberFormat="1" applyFont="1" applyBorder="1" applyAlignment="1">
      <alignment horizontal="center" shrinkToFit="1"/>
    </xf>
    <xf numFmtId="2" fontId="25" fillId="0" borderId="1" xfId="4" applyNumberFormat="1" applyFont="1" applyBorder="1" applyAlignment="1">
      <alignment horizontal="center"/>
    </xf>
    <xf numFmtId="2" fontId="2" fillId="0" borderId="1" xfId="0" applyNumberFormat="1" applyFont="1" applyBorder="1" applyAlignment="1">
      <alignment horizontal="center" shrinkToFit="1"/>
    </xf>
    <xf numFmtId="168" fontId="2" fillId="0" borderId="1" xfId="0" applyNumberFormat="1" applyFont="1" applyBorder="1" applyAlignment="1">
      <alignment horizontal="center"/>
    </xf>
    <xf numFmtId="168" fontId="2" fillId="0" borderId="1" xfId="0" applyNumberFormat="1" applyFont="1" applyBorder="1" applyAlignment="1">
      <alignment horizontal="center" wrapText="1"/>
    </xf>
    <xf numFmtId="0" fontId="2" fillId="0" borderId="1" xfId="0" applyFont="1" applyBorder="1" applyAlignment="1">
      <alignment horizontal="center"/>
    </xf>
    <xf numFmtId="0" fontId="0" fillId="0" borderId="1" xfId="0" applyBorder="1" applyAlignment="1">
      <alignment horizontal="center" wrapText="1"/>
    </xf>
    <xf numFmtId="0" fontId="2" fillId="0" borderId="1" xfId="0" applyFont="1" applyBorder="1" applyAlignment="1">
      <alignment horizontal="center" shrinkToFit="1"/>
    </xf>
    <xf numFmtId="0" fontId="2" fillId="0" borderId="4" xfId="0" applyFont="1" applyBorder="1" applyAlignment="1">
      <alignment horizontal="center" vertical="top" wrapText="1"/>
    </xf>
    <xf numFmtId="49" fontId="2" fillId="2" borderId="12" xfId="0" applyNumberFormat="1" applyFont="1" applyFill="1" applyBorder="1" applyAlignment="1">
      <alignment horizontal="center" vertical="center"/>
    </xf>
    <xf numFmtId="0" fontId="12" fillId="3" borderId="40" xfId="0" applyFont="1" applyFill="1" applyBorder="1" applyAlignment="1">
      <alignment horizontal="center" vertical="center"/>
    </xf>
    <xf numFmtId="168" fontId="2" fillId="0" borderId="41" xfId="0" applyNumberFormat="1" applyFont="1" applyBorder="1" applyAlignment="1">
      <alignment horizontal="center" vertical="center"/>
    </xf>
    <xf numFmtId="0" fontId="2" fillId="0" borderId="41" xfId="0" applyFont="1" applyBorder="1" applyAlignment="1">
      <alignment horizontal="center" vertical="center"/>
    </xf>
    <xf numFmtId="168" fontId="2" fillId="0" borderId="16" xfId="0" applyNumberFormat="1" applyFont="1" applyBorder="1" applyAlignment="1">
      <alignment horizontal="center"/>
    </xf>
    <xf numFmtId="2" fontId="2" fillId="0" borderId="16" xfId="0" applyNumberFormat="1" applyFont="1" applyBorder="1" applyAlignment="1">
      <alignment horizontal="center"/>
    </xf>
    <xf numFmtId="2" fontId="25" fillId="0" borderId="16" xfId="11" applyNumberFormat="1" applyFont="1" applyBorder="1" applyAlignment="1">
      <alignment horizontal="center"/>
    </xf>
    <xf numFmtId="0" fontId="25" fillId="0" borderId="41" xfId="11" applyFont="1" applyBorder="1" applyAlignment="1">
      <alignment horizontal="center"/>
    </xf>
    <xf numFmtId="0" fontId="25" fillId="0" borderId="41" xfId="11" applyFont="1" applyBorder="1" applyAlignment="1">
      <alignment vertical="distributed" wrapText="1"/>
    </xf>
    <xf numFmtId="0" fontId="2" fillId="0" borderId="42" xfId="0" applyFont="1" applyBorder="1" applyAlignment="1">
      <alignment horizontal="center" vertical="center" wrapText="1"/>
    </xf>
    <xf numFmtId="49" fontId="2" fillId="2" borderId="43" xfId="0" applyNumberFormat="1" applyFont="1" applyFill="1" applyBorder="1" applyAlignment="1">
      <alignment horizontal="center" vertical="center"/>
    </xf>
    <xf numFmtId="0" fontId="0" fillId="0" borderId="1" xfId="0" applyBorder="1"/>
    <xf numFmtId="168" fontId="3" fillId="0" borderId="1" xfId="0" applyNumberFormat="1" applyFont="1" applyBorder="1"/>
    <xf numFmtId="168" fontId="3" fillId="0" borderId="1" xfId="0" applyNumberFormat="1" applyFont="1" applyBorder="1" applyAlignment="1"/>
    <xf numFmtId="0" fontId="25" fillId="0" borderId="1" xfId="3" applyFont="1" applyBorder="1" applyAlignment="1">
      <alignment vertical="distributed" wrapText="1"/>
    </xf>
    <xf numFmtId="168" fontId="3" fillId="0" borderId="0" xfId="0" applyNumberFormat="1" applyFont="1" applyBorder="1"/>
    <xf numFmtId="168" fontId="3" fillId="0" borderId="0" xfId="0" applyNumberFormat="1" applyFont="1" applyBorder="1" applyAlignment="1"/>
    <xf numFmtId="0" fontId="0" fillId="4" borderId="1" xfId="0" applyFill="1" applyBorder="1"/>
    <xf numFmtId="0" fontId="0" fillId="0" borderId="0" xfId="0" applyFill="1" applyBorder="1"/>
    <xf numFmtId="2" fontId="2" fillId="0" borderId="1" xfId="0" applyNumberFormat="1" applyFont="1" applyBorder="1" applyAlignment="1">
      <alignment horizontal="center" vertical="center"/>
    </xf>
    <xf numFmtId="2" fontId="2" fillId="2" borderId="1" xfId="0"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0" fontId="2" fillId="2" borderId="4" xfId="0" applyFont="1" applyFill="1" applyBorder="1" applyAlignment="1">
      <alignment horizontal="center" vertical="center"/>
    </xf>
    <xf numFmtId="0" fontId="17" fillId="0" borderId="0" xfId="0" applyFont="1"/>
    <xf numFmtId="0" fontId="17" fillId="0" borderId="44" xfId="0" applyFont="1" applyBorder="1"/>
    <xf numFmtId="0" fontId="17" fillId="0" borderId="0" xfId="0" applyFont="1" applyBorder="1"/>
    <xf numFmtId="0" fontId="18" fillId="0" borderId="0" xfId="0" applyFont="1" applyBorder="1"/>
    <xf numFmtId="0" fontId="18" fillId="0" borderId="45" xfId="0" applyFont="1" applyBorder="1"/>
    <xf numFmtId="0" fontId="17" fillId="0" borderId="45" xfId="0" applyFont="1" applyBorder="1"/>
    <xf numFmtId="0" fontId="17" fillId="0" borderId="46" xfId="0" applyFont="1" applyBorder="1"/>
    <xf numFmtId="167" fontId="17" fillId="0" borderId="0" xfId="0" applyNumberFormat="1" applyFont="1"/>
    <xf numFmtId="0" fontId="23" fillId="0" borderId="45" xfId="0" applyFont="1" applyBorder="1" applyAlignment="1">
      <alignment vertical="center" textRotation="180"/>
    </xf>
    <xf numFmtId="0" fontId="17" fillId="0" borderId="0" xfId="0" applyFont="1" applyBorder="1" applyAlignment="1">
      <alignment horizontal="center" vertical="center"/>
    </xf>
    <xf numFmtId="0" fontId="17" fillId="0" borderId="47" xfId="0" applyFont="1" applyBorder="1"/>
    <xf numFmtId="0" fontId="17" fillId="0" borderId="48" xfId="0" applyFont="1" applyBorder="1"/>
    <xf numFmtId="0" fontId="17" fillId="0" borderId="48" xfId="0" applyFont="1" applyBorder="1" applyAlignment="1">
      <alignment horizontal="center" vertical="center"/>
    </xf>
    <xf numFmtId="165" fontId="19" fillId="0" borderId="0" xfId="0" applyNumberFormat="1" applyFont="1" applyBorder="1" applyAlignment="1">
      <alignment horizontal="center" vertical="center"/>
    </xf>
    <xf numFmtId="164" fontId="20" fillId="0" borderId="0" xfId="0" applyNumberFormat="1" applyFont="1"/>
    <xf numFmtId="165" fontId="17" fillId="0" borderId="0" xfId="0" applyNumberFormat="1" applyFont="1"/>
    <xf numFmtId="164" fontId="17" fillId="0" borderId="0" xfId="0" applyNumberFormat="1" applyFont="1"/>
    <xf numFmtId="168" fontId="17" fillId="0" borderId="0" xfId="0" applyNumberFormat="1" applyFont="1"/>
    <xf numFmtId="0" fontId="17" fillId="0" borderId="0" xfId="0" applyFont="1" applyBorder="1" applyAlignment="1">
      <alignment horizontal="right" vertical="center"/>
    </xf>
    <xf numFmtId="0" fontId="17" fillId="0" borderId="0" xfId="0" applyFont="1" applyFill="1" applyBorder="1" applyAlignment="1">
      <alignment horizontal="center" vertical="center"/>
    </xf>
    <xf numFmtId="0" fontId="23" fillId="0" borderId="49" xfId="0" applyFont="1" applyBorder="1"/>
    <xf numFmtId="0" fontId="23" fillId="0" borderId="6" xfId="0" applyFont="1" applyBorder="1" applyAlignment="1">
      <alignment horizontal="center" vertical="center" wrapText="1"/>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51" xfId="0" applyFont="1" applyBorder="1"/>
    <xf numFmtId="0" fontId="23" fillId="0" borderId="16" xfId="0" applyFont="1" applyBorder="1" applyAlignment="1">
      <alignment horizontal="center" vertical="center"/>
    </xf>
    <xf numFmtId="165" fontId="23" fillId="0" borderId="52" xfId="0" applyNumberFormat="1" applyFont="1" applyBorder="1" applyAlignment="1">
      <alignment horizontal="center" vertical="center"/>
    </xf>
    <xf numFmtId="165" fontId="23" fillId="0" borderId="17" xfId="0" applyNumberFormat="1" applyFont="1" applyBorder="1" applyAlignment="1">
      <alignment horizontal="center" vertical="center"/>
    </xf>
    <xf numFmtId="3" fontId="23" fillId="0" borderId="21" xfId="0" applyNumberFormat="1" applyFont="1" applyBorder="1" applyAlignment="1">
      <alignment horizontal="center" vertical="center"/>
    </xf>
    <xf numFmtId="3" fontId="23" fillId="0" borderId="34" xfId="0" applyNumberFormat="1" applyFont="1" applyBorder="1" applyAlignment="1">
      <alignment horizontal="center" vertical="center"/>
    </xf>
    <xf numFmtId="0" fontId="23" fillId="0" borderId="52" xfId="0" applyFont="1" applyBorder="1" applyAlignment="1">
      <alignment horizontal="right" vertical="center"/>
    </xf>
    <xf numFmtId="0" fontId="23" fillId="0" borderId="34" xfId="0" applyFont="1" applyBorder="1" applyAlignment="1">
      <alignment horizontal="center" vertical="center"/>
    </xf>
    <xf numFmtId="0" fontId="23" fillId="0" borderId="1" xfId="0" applyFont="1" applyBorder="1" applyAlignment="1">
      <alignment horizontal="center" vertical="center"/>
    </xf>
    <xf numFmtId="165" fontId="23" fillId="0" borderId="53" xfId="0" applyNumberFormat="1" applyFont="1" applyBorder="1" applyAlignment="1">
      <alignment horizontal="center" vertical="center"/>
    </xf>
    <xf numFmtId="165" fontId="23" fillId="0" borderId="2" xfId="0" applyNumberFormat="1" applyFont="1" applyBorder="1" applyAlignment="1">
      <alignment horizontal="center" vertical="center"/>
    </xf>
    <xf numFmtId="165" fontId="23" fillId="0" borderId="7" xfId="0" applyNumberFormat="1" applyFont="1" applyBorder="1" applyAlignment="1">
      <alignment horizontal="center" vertical="center"/>
    </xf>
    <xf numFmtId="3" fontId="23" fillId="0" borderId="7" xfId="0" applyNumberFormat="1" applyFont="1" applyBorder="1" applyAlignment="1">
      <alignment horizontal="center" vertical="center"/>
    </xf>
    <xf numFmtId="0" fontId="23" fillId="0" borderId="39" xfId="0" applyFont="1" applyBorder="1" applyAlignment="1">
      <alignment horizontal="right" vertical="center"/>
    </xf>
    <xf numFmtId="0" fontId="23" fillId="0" borderId="12" xfId="0" applyFont="1" applyBorder="1" applyAlignment="1">
      <alignment horizontal="center" vertical="center"/>
    </xf>
    <xf numFmtId="0" fontId="23" fillId="0" borderId="53" xfId="0" applyFont="1" applyBorder="1" applyAlignment="1">
      <alignment horizontal="right" vertical="center"/>
    </xf>
    <xf numFmtId="0" fontId="23" fillId="0" borderId="7" xfId="0" applyFont="1" applyBorder="1" applyAlignment="1">
      <alignment horizontal="center" vertical="center"/>
    </xf>
    <xf numFmtId="0" fontId="23" fillId="0" borderId="54" xfId="0" applyFont="1" applyFill="1" applyBorder="1" applyAlignment="1">
      <alignment horizontal="right" vertical="center"/>
    </xf>
    <xf numFmtId="165" fontId="23" fillId="0" borderId="23" xfId="0" applyNumberFormat="1" applyFont="1" applyBorder="1" applyAlignment="1">
      <alignment horizontal="center" vertical="center"/>
    </xf>
    <xf numFmtId="3" fontId="23" fillId="0" borderId="12" xfId="0" applyNumberFormat="1" applyFont="1" applyBorder="1" applyAlignment="1">
      <alignment horizontal="center" vertical="center"/>
    </xf>
    <xf numFmtId="0" fontId="23" fillId="0" borderId="12" xfId="0" applyFont="1" applyFill="1" applyBorder="1" applyAlignment="1">
      <alignment horizontal="center" vertical="center"/>
    </xf>
    <xf numFmtId="0" fontId="23" fillId="0" borderId="52" xfId="0" applyFont="1" applyBorder="1" applyAlignment="1">
      <alignment horizontal="center" vertical="center"/>
    </xf>
    <xf numFmtId="165" fontId="23" fillId="0" borderId="42" xfId="0" applyNumberFormat="1" applyFont="1" applyBorder="1" applyAlignment="1">
      <alignment horizontal="center" vertical="center"/>
    </xf>
    <xf numFmtId="3" fontId="23" fillId="0" borderId="43" xfId="0" applyNumberFormat="1" applyFont="1" applyBorder="1" applyAlignment="1">
      <alignment horizontal="center" vertical="center"/>
    </xf>
    <xf numFmtId="0" fontId="23" fillId="0" borderId="43" xfId="0" applyFont="1" applyFill="1" applyBorder="1" applyAlignment="1">
      <alignment horizontal="center" vertical="center" wrapText="1"/>
    </xf>
    <xf numFmtId="0" fontId="23" fillId="0" borderId="55" xfId="0" applyFont="1" applyBorder="1"/>
    <xf numFmtId="0" fontId="23" fillId="0" borderId="56" xfId="0" applyFont="1" applyBorder="1" applyAlignment="1">
      <alignment horizontal="center" vertical="center"/>
    </xf>
    <xf numFmtId="0" fontId="23" fillId="0" borderId="57" xfId="0" applyFont="1" applyBorder="1" applyAlignment="1">
      <alignment horizontal="center" vertical="center"/>
    </xf>
    <xf numFmtId="165" fontId="23" fillId="0" borderId="56" xfId="0" applyNumberFormat="1" applyFont="1" applyBorder="1" applyAlignment="1">
      <alignment horizontal="center" vertical="center"/>
    </xf>
    <xf numFmtId="165" fontId="23" fillId="0" borderId="13" xfId="0" applyNumberFormat="1" applyFont="1" applyBorder="1" applyAlignment="1">
      <alignment horizontal="center" vertical="center"/>
    </xf>
    <xf numFmtId="165" fontId="23" fillId="0" borderId="58" xfId="0" applyNumberFormat="1" applyFont="1" applyBorder="1" applyAlignment="1">
      <alignment horizontal="center" vertical="center"/>
    </xf>
    <xf numFmtId="165" fontId="23" fillId="0" borderId="59" xfId="0" applyNumberFormat="1" applyFont="1" applyBorder="1" applyAlignment="1">
      <alignment horizontal="center" vertical="center"/>
    </xf>
    <xf numFmtId="0" fontId="23" fillId="0" borderId="45" xfId="0" applyFont="1" applyBorder="1"/>
    <xf numFmtId="0" fontId="23" fillId="0" borderId="60" xfId="0" applyFont="1" applyBorder="1"/>
    <xf numFmtId="0" fontId="23" fillId="0" borderId="53" xfId="0" applyFont="1" applyBorder="1" applyAlignment="1">
      <alignment horizontal="center" vertical="center"/>
    </xf>
    <xf numFmtId="0" fontId="23" fillId="0" borderId="0" xfId="0" applyFont="1" applyBorder="1" applyAlignment="1">
      <alignment horizontal="center" vertical="center"/>
    </xf>
    <xf numFmtId="165" fontId="23" fillId="0" borderId="3" xfId="0" applyNumberFormat="1" applyFont="1" applyBorder="1" applyAlignment="1">
      <alignment horizontal="center" vertical="center"/>
    </xf>
    <xf numFmtId="49" fontId="2" fillId="2" borderId="7" xfId="0" applyNumberFormat="1" applyFont="1" applyFill="1" applyBorder="1" applyAlignment="1">
      <alignment horizontal="center" vertical="center"/>
    </xf>
    <xf numFmtId="3" fontId="3" fillId="2" borderId="50" xfId="0" applyNumberFormat="1" applyFont="1" applyFill="1" applyBorder="1" applyAlignment="1">
      <alignment vertical="center" wrapText="1"/>
    </xf>
    <xf numFmtId="3" fontId="3" fillId="2" borderId="50" xfId="0" applyNumberFormat="1" applyFont="1" applyFill="1" applyBorder="1" applyAlignment="1">
      <alignment horizontal="center" vertical="center" wrapText="1"/>
    </xf>
    <xf numFmtId="0" fontId="23" fillId="0" borderId="47" xfId="0" applyFont="1" applyBorder="1" applyAlignment="1">
      <alignment horizontal="center" vertical="center"/>
    </xf>
    <xf numFmtId="0" fontId="17" fillId="0" borderId="65" xfId="0" applyFont="1" applyBorder="1"/>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49" fontId="2" fillId="0" borderId="76" xfId="0" applyNumberFormat="1" applyFont="1" applyBorder="1" applyAlignment="1">
      <alignment horizontal="center" vertical="center"/>
    </xf>
    <xf numFmtId="0" fontId="2" fillId="2" borderId="74" xfId="0" applyFont="1" applyFill="1" applyBorder="1" applyAlignment="1">
      <alignment horizontal="center" vertical="center"/>
    </xf>
    <xf numFmtId="0" fontId="2" fillId="0" borderId="74" xfId="0" applyFont="1" applyBorder="1" applyAlignment="1">
      <alignment horizontal="center" vertical="center"/>
    </xf>
    <xf numFmtId="3" fontId="23" fillId="0" borderId="22" xfId="0" applyNumberFormat="1" applyFont="1" applyBorder="1" applyAlignment="1">
      <alignment horizontal="center" vertical="center"/>
    </xf>
    <xf numFmtId="0" fontId="23" fillId="0" borderId="50" xfId="0" applyFont="1" applyBorder="1" applyAlignment="1">
      <alignment horizontal="right" vertical="center"/>
    </xf>
    <xf numFmtId="0" fontId="2" fillId="0" borderId="1" xfId="0" applyFont="1" applyFill="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2" fillId="0" borderId="13" xfId="0" applyFont="1" applyBorder="1" applyAlignment="1">
      <alignment horizontal="center" vertical="center"/>
    </xf>
    <xf numFmtId="3" fontId="3" fillId="0" borderId="5" xfId="0" applyNumberFormat="1" applyFont="1" applyBorder="1" applyAlignment="1">
      <alignment horizontal="center" vertical="center" wrapText="1"/>
    </xf>
    <xf numFmtId="168" fontId="3" fillId="0" borderId="14" xfId="0" applyNumberFormat="1" applyFont="1" applyBorder="1" applyAlignment="1">
      <alignment horizontal="center" wrapText="1"/>
    </xf>
    <xf numFmtId="168" fontId="3" fillId="0" borderId="5" xfId="0" applyNumberFormat="1" applyFont="1" applyBorder="1" applyAlignment="1">
      <alignment horizontal="center" vertical="center" wrapText="1"/>
    </xf>
    <xf numFmtId="49" fontId="2" fillId="2" borderId="34" xfId="0" applyNumberFormat="1" applyFont="1" applyFill="1" applyBorder="1" applyAlignment="1">
      <alignment horizontal="center" vertical="center"/>
    </xf>
    <xf numFmtId="0" fontId="2" fillId="0" borderId="1" xfId="0" applyFont="1" applyBorder="1" applyAlignment="1">
      <alignment horizontal="center" vertical="center"/>
    </xf>
    <xf numFmtId="49" fontId="2" fillId="2" borderId="7" xfId="0" applyNumberFormat="1" applyFont="1" applyFill="1" applyBorder="1" applyAlignment="1">
      <alignment horizontal="center" vertical="center"/>
    </xf>
    <xf numFmtId="0" fontId="2" fillId="0" borderId="1" xfId="0" applyFont="1" applyBorder="1" applyAlignment="1">
      <alignment horizontal="center" vertical="center" shrinkToFit="1"/>
    </xf>
    <xf numFmtId="0" fontId="2" fillId="0" borderId="16" xfId="0" applyFont="1" applyBorder="1" applyAlignment="1">
      <alignment horizontal="center" vertical="center" shrinkToFit="1"/>
    </xf>
    <xf numFmtId="168" fontId="3" fillId="0" borderId="5" xfId="0" applyNumberFormat="1" applyFont="1" applyBorder="1" applyAlignment="1">
      <alignment horizontal="center" wrapText="1"/>
    </xf>
    <xf numFmtId="168" fontId="3" fillId="0" borderId="31" xfId="0" applyNumberFormat="1" applyFont="1" applyBorder="1" applyAlignment="1">
      <alignment horizontal="center" vertical="center" wrapText="1"/>
    </xf>
    <xf numFmtId="3" fontId="0" fillId="2" borderId="0" xfId="0" applyNumberFormat="1" applyFill="1" applyAlignment="1">
      <alignment horizontal="center" vertical="center"/>
    </xf>
    <xf numFmtId="49" fontId="2" fillId="2" borderId="7" xfId="0" applyNumberFormat="1" applyFont="1" applyFill="1" applyBorder="1" applyAlignment="1">
      <alignment horizontal="center" vertical="center"/>
    </xf>
    <xf numFmtId="0" fontId="2" fillId="0" borderId="1" xfId="0" applyFont="1" applyBorder="1" applyAlignment="1">
      <alignment horizontal="center" vertical="center" shrinkToFit="1"/>
    </xf>
    <xf numFmtId="168" fontId="3" fillId="0" borderId="74" xfId="0" applyNumberFormat="1" applyFont="1" applyBorder="1" applyAlignment="1">
      <alignment horizontal="center" vertical="center"/>
    </xf>
    <xf numFmtId="0" fontId="3" fillId="2" borderId="74" xfId="0" applyFont="1" applyFill="1" applyBorder="1" applyAlignment="1">
      <alignment horizontal="center" vertical="center"/>
    </xf>
    <xf numFmtId="0" fontId="3" fillId="0" borderId="74" xfId="0" applyFont="1" applyBorder="1" applyAlignment="1">
      <alignment vertical="center"/>
    </xf>
    <xf numFmtId="0" fontId="0" fillId="0" borderId="74" xfId="0" applyBorder="1" applyAlignment="1">
      <alignment vertical="center"/>
    </xf>
    <xf numFmtId="49" fontId="0" fillId="0" borderId="76" xfId="0" applyNumberFormat="1" applyBorder="1" applyAlignment="1">
      <alignment horizontal="center" vertical="center"/>
    </xf>
    <xf numFmtId="3" fontId="23" fillId="0" borderId="34" xfId="0" quotePrefix="1" applyNumberFormat="1" applyFont="1" applyBorder="1" applyAlignment="1">
      <alignment horizontal="center" vertical="center"/>
    </xf>
    <xf numFmtId="49" fontId="2" fillId="2" borderId="1" xfId="0" applyNumberFormat="1" applyFont="1" applyFill="1" applyBorder="1" applyAlignment="1">
      <alignment horizontal="center" vertical="center"/>
    </xf>
    <xf numFmtId="0" fontId="29" fillId="0" borderId="1" xfId="0" applyFont="1" applyBorder="1"/>
    <xf numFmtId="0" fontId="29" fillId="0" borderId="0" xfId="0" applyFont="1" applyBorder="1"/>
    <xf numFmtId="0" fontId="29" fillId="0" borderId="3" xfId="0" applyFont="1" applyBorder="1" applyAlignment="1">
      <alignment horizontal="center" vertical="center"/>
    </xf>
    <xf numFmtId="0" fontId="29" fillId="0" borderId="0" xfId="0" applyFont="1"/>
    <xf numFmtId="3" fontId="0" fillId="2" borderId="0" xfId="0" applyNumberFormat="1" applyFill="1" applyBorder="1" applyAlignment="1">
      <alignment horizontal="center" vertical="center"/>
    </xf>
    <xf numFmtId="0" fontId="0" fillId="2" borderId="0" xfId="0" applyFill="1" applyBorder="1" applyAlignment="1">
      <alignment horizontal="center" vertical="center"/>
    </xf>
    <xf numFmtId="165" fontId="17" fillId="0" borderId="0" xfId="0" applyNumberFormat="1" applyFont="1" applyBorder="1"/>
    <xf numFmtId="3" fontId="17" fillId="0" borderId="0" xfId="0" applyNumberFormat="1" applyFont="1"/>
    <xf numFmtId="0" fontId="5" fillId="0" borderId="8" xfId="0" applyFont="1" applyBorder="1" applyAlignment="1">
      <alignment horizontal="right" vertical="center"/>
    </xf>
    <xf numFmtId="0" fontId="3" fillId="2" borderId="8" xfId="0" applyFont="1" applyFill="1" applyBorder="1" applyAlignment="1">
      <alignment horizontal="center" vertical="center"/>
    </xf>
    <xf numFmtId="0" fontId="7" fillId="0" borderId="64" xfId="0" applyFont="1" applyBorder="1" applyAlignment="1">
      <alignment horizontal="center" vertical="center"/>
    </xf>
    <xf numFmtId="0" fontId="7" fillId="0" borderId="21" xfId="0" applyFont="1" applyBorder="1" applyAlignment="1">
      <alignment horizontal="center" vertical="center"/>
    </xf>
    <xf numFmtId="0" fontId="7" fillId="0" borderId="58" xfId="0" applyFont="1" applyBorder="1" applyAlignment="1">
      <alignment horizontal="center" vertical="center"/>
    </xf>
    <xf numFmtId="0" fontId="7" fillId="0" borderId="3" xfId="0" applyFont="1" applyBorder="1" applyAlignment="1">
      <alignment horizontal="center" vertical="center"/>
    </xf>
    <xf numFmtId="0" fontId="2" fillId="0" borderId="62"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56" xfId="0" applyFont="1" applyBorder="1" applyAlignment="1">
      <alignment horizontal="center" vertical="center"/>
    </xf>
    <xf numFmtId="0" fontId="2" fillId="0" borderId="13" xfId="0" applyFont="1" applyBorder="1" applyAlignment="1">
      <alignment horizontal="center" vertical="center" wrapText="1"/>
    </xf>
    <xf numFmtId="0" fontId="2" fillId="0" borderId="56" xfId="0" applyFont="1" applyBorder="1" applyAlignment="1">
      <alignment horizontal="center" vertical="center" wrapText="1"/>
    </xf>
    <xf numFmtId="0" fontId="6" fillId="0" borderId="13" xfId="0" applyFont="1" applyBorder="1" applyAlignment="1">
      <alignment horizontal="center" vertical="center"/>
    </xf>
    <xf numFmtId="0" fontId="6" fillId="0" borderId="56" xfId="0" applyFont="1" applyBorder="1" applyAlignment="1">
      <alignment horizontal="center" vertical="center"/>
    </xf>
    <xf numFmtId="168" fontId="2" fillId="0" borderId="14" xfId="0" applyNumberFormat="1" applyFont="1" applyBorder="1" applyAlignment="1">
      <alignment horizontal="center" vertical="center"/>
    </xf>
    <xf numFmtId="168" fontId="2" fillId="0" borderId="50" xfId="0" applyNumberFormat="1" applyFont="1" applyBorder="1" applyAlignment="1">
      <alignment horizontal="center" vertical="center"/>
    </xf>
    <xf numFmtId="168" fontId="3" fillId="0" borderId="14" xfId="0" applyNumberFormat="1" applyFont="1" applyBorder="1" applyAlignment="1">
      <alignment horizontal="center" vertical="center" wrapText="1"/>
    </xf>
    <xf numFmtId="168" fontId="3" fillId="0" borderId="50" xfId="0" applyNumberFormat="1" applyFont="1" applyBorder="1" applyAlignment="1">
      <alignment horizontal="center" vertical="center" wrapText="1"/>
    </xf>
    <xf numFmtId="168" fontId="3" fillId="2" borderId="5" xfId="0" applyNumberFormat="1" applyFont="1" applyFill="1" applyBorder="1" applyAlignment="1">
      <alignment horizontal="center" vertical="center" wrapText="1"/>
    </xf>
    <xf numFmtId="3" fontId="3" fillId="0" borderId="5" xfId="0" applyNumberFormat="1" applyFont="1" applyBorder="1" applyAlignment="1">
      <alignment horizontal="center" vertical="center" wrapText="1"/>
    </xf>
    <xf numFmtId="0" fontId="2" fillId="0" borderId="57" xfId="0" applyFont="1" applyBorder="1" applyAlignment="1">
      <alignment horizontal="center" vertical="center"/>
    </xf>
    <xf numFmtId="3" fontId="3" fillId="2" borderId="5" xfId="0" applyNumberFormat="1" applyFont="1" applyFill="1" applyBorder="1" applyAlignment="1">
      <alignment horizontal="center" vertical="center" wrapText="1"/>
    </xf>
    <xf numFmtId="168" fontId="3" fillId="2" borderId="5" xfId="0" applyNumberFormat="1" applyFont="1" applyFill="1" applyBorder="1" applyAlignment="1">
      <alignment horizontal="center" wrapText="1"/>
    </xf>
    <xf numFmtId="168" fontId="3" fillId="0" borderId="32" xfId="0" applyNumberFormat="1" applyFont="1" applyBorder="1" applyAlignment="1">
      <alignment horizontal="center" vertical="center" wrapText="1"/>
    </xf>
    <xf numFmtId="168" fontId="3" fillId="0" borderId="63" xfId="0" applyNumberFormat="1" applyFont="1" applyBorder="1" applyAlignment="1">
      <alignment horizontal="center" vertical="center" wrapText="1"/>
    </xf>
    <xf numFmtId="0" fontId="6" fillId="0" borderId="57" xfId="0" applyFont="1" applyBorder="1" applyAlignment="1">
      <alignment horizontal="center" vertical="center"/>
    </xf>
    <xf numFmtId="168" fontId="3" fillId="0" borderId="14" xfId="0" applyNumberFormat="1" applyFont="1" applyBorder="1" applyAlignment="1">
      <alignment horizontal="center" wrapText="1"/>
    </xf>
    <xf numFmtId="168" fontId="3" fillId="0" borderId="50" xfId="0" applyNumberFormat="1" applyFont="1" applyBorder="1" applyAlignment="1">
      <alignment horizontal="center" wrapText="1"/>
    </xf>
    <xf numFmtId="0" fontId="2" fillId="0" borderId="57" xfId="0" applyFont="1" applyBorder="1" applyAlignment="1">
      <alignment horizontal="center" vertical="center" wrapText="1"/>
    </xf>
    <xf numFmtId="168" fontId="3" fillId="2" borderId="31" xfId="0" applyNumberFormat="1" applyFont="1" applyFill="1" applyBorder="1" applyAlignment="1">
      <alignment horizontal="center" vertical="center" wrapText="1"/>
    </xf>
    <xf numFmtId="168" fontId="3" fillId="0" borderId="5" xfId="0" applyNumberFormat="1" applyFont="1" applyBorder="1" applyAlignment="1">
      <alignment horizontal="center" vertical="center" wrapText="1"/>
    </xf>
    <xf numFmtId="168" fontId="4" fillId="0" borderId="14" xfId="0" applyNumberFormat="1" applyFont="1" applyBorder="1" applyAlignment="1">
      <alignment horizontal="center" vertical="center" wrapText="1"/>
    </xf>
    <xf numFmtId="168" fontId="4" fillId="0" borderId="50" xfId="0" applyNumberFormat="1" applyFont="1" applyBorder="1" applyAlignment="1">
      <alignment horizontal="center" vertical="center" wrapText="1"/>
    </xf>
    <xf numFmtId="168" fontId="3" fillId="0" borderId="23" xfId="0" applyNumberFormat="1" applyFont="1" applyBorder="1" applyAlignment="1">
      <alignment horizontal="center" vertical="center" wrapText="1"/>
    </xf>
    <xf numFmtId="168" fontId="3" fillId="0" borderId="39" xfId="0" applyNumberFormat="1" applyFont="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168" fontId="2" fillId="0" borderId="14" xfId="0" applyNumberFormat="1" applyFont="1" applyBorder="1" applyAlignment="1">
      <alignment horizontal="center" vertical="center" wrapText="1"/>
    </xf>
    <xf numFmtId="0" fontId="2" fillId="0" borderId="50" xfId="0" applyFont="1" applyBorder="1" applyAlignment="1">
      <alignment horizontal="center" vertical="center" wrapText="1"/>
    </xf>
    <xf numFmtId="49" fontId="2" fillId="2" borderId="61" xfId="0" applyNumberFormat="1" applyFont="1" applyFill="1" applyBorder="1" applyAlignment="1">
      <alignment horizontal="center" vertical="center"/>
    </xf>
    <xf numFmtId="49" fontId="2" fillId="2" borderId="34" xfId="0" applyNumberFormat="1" applyFont="1" applyFill="1" applyBorder="1" applyAlignment="1">
      <alignment horizontal="center" vertical="center"/>
    </xf>
    <xf numFmtId="0" fontId="2" fillId="0" borderId="1" xfId="0" applyFont="1" applyBorder="1" applyAlignment="1">
      <alignment horizontal="center" vertical="center"/>
    </xf>
    <xf numFmtId="168" fontId="3" fillId="0" borderId="4" xfId="0" applyNumberFormat="1" applyFont="1" applyBorder="1" applyAlignment="1">
      <alignment horizontal="center" vertical="center" wrapText="1"/>
    </xf>
    <xf numFmtId="49" fontId="2" fillId="2" borderId="59"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0" borderId="5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16" xfId="0" applyFont="1" applyBorder="1" applyAlignment="1">
      <alignment horizontal="center" vertical="center" shrinkToFit="1"/>
    </xf>
    <xf numFmtId="168" fontId="3" fillId="2" borderId="4" xfId="0" applyNumberFormat="1" applyFont="1" applyFill="1" applyBorder="1" applyAlignment="1">
      <alignment horizontal="center" vertical="center" wrapText="1"/>
    </xf>
    <xf numFmtId="168" fontId="3" fillId="0" borderId="31" xfId="0" applyNumberFormat="1" applyFont="1" applyBorder="1" applyAlignment="1">
      <alignment horizontal="center" vertical="center" wrapText="1"/>
    </xf>
    <xf numFmtId="0" fontId="3" fillId="2" borderId="5" xfId="0" applyNumberFormat="1" applyFont="1" applyFill="1" applyBorder="1" applyAlignment="1">
      <alignment horizontal="center" vertical="center" wrapText="1"/>
    </xf>
    <xf numFmtId="1" fontId="3" fillId="0" borderId="5" xfId="0" applyNumberFormat="1" applyFont="1" applyBorder="1" applyAlignment="1">
      <alignment horizontal="center" vertical="center" wrapText="1"/>
    </xf>
    <xf numFmtId="168" fontId="3" fillId="0" borderId="5" xfId="0" applyNumberFormat="1" applyFont="1" applyBorder="1" applyAlignment="1">
      <alignment horizontal="center" wrapText="1"/>
    </xf>
    <xf numFmtId="3" fontId="2" fillId="2" borderId="69" xfId="0" applyNumberFormat="1" applyFont="1" applyFill="1" applyBorder="1" applyAlignment="1">
      <alignment horizontal="center" vertical="center" wrapText="1"/>
    </xf>
    <xf numFmtId="0" fontId="3" fillId="0" borderId="9" xfId="0" applyFont="1" applyBorder="1" applyAlignment="1">
      <alignment horizontal="right" vertical="center"/>
    </xf>
    <xf numFmtId="4" fontId="22" fillId="0" borderId="0" xfId="0" applyNumberFormat="1" applyFont="1" applyAlignment="1">
      <alignment horizontal="center"/>
    </xf>
    <xf numFmtId="0" fontId="23" fillId="0" borderId="66" xfId="0" applyFont="1" applyBorder="1" applyAlignment="1">
      <alignment vertical="center" textRotation="180"/>
    </xf>
    <xf numFmtId="0" fontId="23" fillId="0" borderId="51" xfId="0" applyFont="1" applyBorder="1" applyAlignment="1">
      <alignment vertical="center" textRotation="180"/>
    </xf>
    <xf numFmtId="165" fontId="19" fillId="0" borderId="72" xfId="0" applyNumberFormat="1" applyFont="1" applyBorder="1" applyAlignment="1">
      <alignment horizontal="center" vertical="center"/>
    </xf>
    <xf numFmtId="165" fontId="19" fillId="0" borderId="69" xfId="0" applyNumberFormat="1" applyFont="1" applyBorder="1" applyAlignment="1">
      <alignment horizontal="center" vertical="center"/>
    </xf>
    <xf numFmtId="165" fontId="19" fillId="0" borderId="71" xfId="0" applyNumberFormat="1" applyFont="1" applyBorder="1" applyAlignment="1">
      <alignment horizontal="center" vertical="center"/>
    </xf>
    <xf numFmtId="168" fontId="17" fillId="0" borderId="0" xfId="0" applyNumberFormat="1" applyFont="1" applyAlignment="1">
      <alignment horizontal="center"/>
    </xf>
    <xf numFmtId="0" fontId="21" fillId="0" borderId="24" xfId="0" applyFont="1" applyBorder="1" applyAlignment="1">
      <alignment horizontal="center" vertical="center"/>
    </xf>
    <xf numFmtId="0" fontId="21" fillId="0" borderId="8" xfId="0" applyFont="1" applyBorder="1" applyAlignment="1">
      <alignment horizontal="center" vertical="center"/>
    </xf>
    <xf numFmtId="0" fontId="21" fillId="0" borderId="37" xfId="0" applyFont="1" applyBorder="1" applyAlignment="1">
      <alignment horizontal="center" vertical="center"/>
    </xf>
    <xf numFmtId="164" fontId="28" fillId="0" borderId="0" xfId="0" applyNumberFormat="1" applyFont="1" applyAlignment="1">
      <alignment horizontal="center"/>
    </xf>
    <xf numFmtId="0" fontId="17" fillId="0" borderId="48" xfId="0" applyFont="1" applyBorder="1" applyAlignment="1">
      <alignment horizontal="center" vertical="center"/>
    </xf>
    <xf numFmtId="0" fontId="17" fillId="0" borderId="73" xfId="0" applyFont="1" applyBorder="1" applyAlignment="1">
      <alignment horizontal="center" vertical="center"/>
    </xf>
    <xf numFmtId="0" fontId="23" fillId="0" borderId="10" xfId="0" applyFont="1" applyBorder="1" applyAlignment="1">
      <alignment horizontal="center" vertical="center"/>
    </xf>
    <xf numFmtId="0" fontId="23" fillId="0" borderId="26" xfId="0" applyFont="1" applyBorder="1" applyAlignment="1">
      <alignment horizontal="center" vertical="center"/>
    </xf>
    <xf numFmtId="0" fontId="23" fillId="0" borderId="47"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3" fillId="0" borderId="56" xfId="0" applyFont="1" applyBorder="1" applyAlignment="1">
      <alignment horizontal="center" vertical="center"/>
    </xf>
    <xf numFmtId="0" fontId="23" fillId="0" borderId="59" xfId="0" applyFont="1" applyBorder="1" applyAlignment="1">
      <alignment horizontal="center" vertical="center"/>
    </xf>
    <xf numFmtId="0" fontId="23" fillId="0" borderId="61" xfId="0" applyFont="1" applyBorder="1" applyAlignment="1">
      <alignment horizontal="center" vertical="center"/>
    </xf>
    <xf numFmtId="0" fontId="23" fillId="0" borderId="36" xfId="0" applyFont="1" applyBorder="1" applyAlignment="1">
      <alignment horizontal="center" vertical="center"/>
    </xf>
    <xf numFmtId="0" fontId="23" fillId="0" borderId="67" xfId="0" applyFont="1" applyBorder="1" applyAlignment="1">
      <alignment horizontal="center" vertical="center"/>
    </xf>
    <xf numFmtId="0" fontId="23" fillId="0" borderId="63"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24" xfId="0" applyFont="1" applyBorder="1" applyAlignment="1">
      <alignment horizontal="center" vertical="center"/>
    </xf>
    <xf numFmtId="0" fontId="23" fillId="0" borderId="8" xfId="0" applyFont="1" applyBorder="1" applyAlignment="1">
      <alignment horizontal="center" vertical="center"/>
    </xf>
    <xf numFmtId="0" fontId="30" fillId="0" borderId="0" xfId="0" applyFont="1" applyBorder="1"/>
    <xf numFmtId="0" fontId="31" fillId="0" borderId="0" xfId="0" applyFont="1" applyBorder="1" applyAlignment="1">
      <alignment horizontal="center"/>
    </xf>
    <xf numFmtId="49" fontId="32" fillId="2" borderId="0" xfId="0" applyNumberFormat="1" applyFont="1" applyFill="1" applyBorder="1" applyAlignment="1">
      <alignment horizontal="center" vertical="center"/>
    </xf>
    <xf numFmtId="49" fontId="32" fillId="2" borderId="0" xfId="0" applyNumberFormat="1" applyFont="1" applyFill="1" applyBorder="1" applyAlignment="1">
      <alignment vertical="center"/>
    </xf>
    <xf numFmtId="0" fontId="30" fillId="2" borderId="0" xfId="0" applyFont="1" applyFill="1" applyBorder="1" applyAlignment="1">
      <alignment vertical="center"/>
    </xf>
    <xf numFmtId="0" fontId="31" fillId="0" borderId="0" xfId="0" applyFont="1" applyBorder="1" applyAlignment="1"/>
    <xf numFmtId="0" fontId="33" fillId="0" borderId="0" xfId="0" applyFont="1" applyBorder="1" applyAlignment="1">
      <alignment horizontal="center" vertical="center"/>
    </xf>
    <xf numFmtId="0" fontId="30" fillId="2" borderId="0" xfId="0" applyFont="1" applyFill="1" applyBorder="1" applyAlignment="1">
      <alignment horizontal="center" vertical="center"/>
    </xf>
  </cellXfs>
  <cellStyles count="15">
    <cellStyle name="Normal" xfId="0" builtinId="0"/>
    <cellStyle name="Normal 10" xfId="1"/>
    <cellStyle name="Normal 11" xfId="2"/>
    <cellStyle name="Normal 12" xfId="3"/>
    <cellStyle name="Normal 13" xfId="4"/>
    <cellStyle name="Normal 14" xfId="5"/>
    <cellStyle name="Normal 15" xfId="6"/>
    <cellStyle name="Normal 16" xfId="7"/>
    <cellStyle name="Normal 17" xfId="8"/>
    <cellStyle name="Normal 18" xfId="9"/>
    <cellStyle name="Normal 19" xfId="10"/>
    <cellStyle name="Normal 6" xfId="11"/>
    <cellStyle name="Normal 7" xfId="12"/>
    <cellStyle name="Normal 8" xfId="13"/>
    <cellStyle name="Normal 9"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6"/>
  <sheetViews>
    <sheetView view="pageBreakPreview" topLeftCell="F7" zoomScale="115" zoomScaleNormal="90" zoomScaleSheetLayoutView="115" workbookViewId="0">
      <selection activeCell="J6" sqref="J6"/>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1.7109375" style="16" customWidth="1"/>
    <col min="7" max="7" width="14.85546875" style="95" customWidth="1"/>
    <col min="8" max="8" width="12.85546875" style="16" customWidth="1"/>
    <col min="9" max="9" width="13.140625" style="33" customWidth="1"/>
    <col min="10" max="10" width="10"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519</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62"/>
      <c r="S3" s="420" t="s">
        <v>0</v>
      </c>
    </row>
    <row r="4" spans="2:19" ht="25.5" customHeight="1">
      <c r="D4" s="384"/>
      <c r="F4" s="384"/>
      <c r="G4" s="97" t="s">
        <v>374</v>
      </c>
      <c r="H4" s="49" t="s">
        <v>373</v>
      </c>
      <c r="I4" s="49" t="s">
        <v>143</v>
      </c>
      <c r="J4" s="49" t="s">
        <v>142</v>
      </c>
      <c r="K4" s="1" t="s">
        <v>4</v>
      </c>
      <c r="L4" s="1" t="s">
        <v>3</v>
      </c>
      <c r="M4" s="100" t="s">
        <v>141</v>
      </c>
      <c r="N4" s="1" t="s">
        <v>140</v>
      </c>
      <c r="O4" s="429"/>
      <c r="P4" s="388"/>
      <c r="Q4" s="388"/>
      <c r="R4" s="2"/>
      <c r="S4" s="421"/>
    </row>
    <row r="5" spans="2:19" ht="23.25" customHeight="1" thickBot="1">
      <c r="D5" s="85"/>
      <c r="F5" s="176"/>
      <c r="G5" s="145"/>
      <c r="H5" s="136"/>
      <c r="I5" s="146"/>
      <c r="J5" s="146"/>
      <c r="K5" s="136"/>
      <c r="L5" s="136"/>
      <c r="M5" s="145" t="s">
        <v>381</v>
      </c>
      <c r="N5" s="136"/>
      <c r="O5" s="136"/>
      <c r="P5" s="136"/>
      <c r="Q5" s="86" t="s">
        <v>304</v>
      </c>
      <c r="R5" s="42"/>
      <c r="S5" s="220"/>
    </row>
    <row r="6" spans="2:19" ht="33" customHeight="1">
      <c r="B6" s="259" t="s">
        <v>264</v>
      </c>
      <c r="C6" s="3" t="s">
        <v>279</v>
      </c>
      <c r="D6" s="35">
        <v>521.12</v>
      </c>
      <c r="F6" s="35"/>
      <c r="G6" s="98">
        <f t="shared" ref="G6" si="0">(N6-J6)*O6</f>
        <v>20119110</v>
      </c>
      <c r="H6" s="98"/>
      <c r="I6" s="98">
        <f t="shared" ref="I6:I10" si="1">J6*O6</f>
        <v>56610090</v>
      </c>
      <c r="J6" s="49">
        <v>38.07</v>
      </c>
      <c r="K6" s="6"/>
      <c r="L6" s="28"/>
      <c r="M6" s="98">
        <f>N6*O6</f>
        <v>76729200</v>
      </c>
      <c r="N6" s="6">
        <v>51.6</v>
      </c>
      <c r="O6" s="22">
        <v>1487000</v>
      </c>
      <c r="P6" s="6" t="s">
        <v>35</v>
      </c>
      <c r="Q6" s="6" t="s">
        <v>307</v>
      </c>
      <c r="R6" s="63" t="s">
        <v>158</v>
      </c>
      <c r="S6" s="34" t="s">
        <v>305</v>
      </c>
    </row>
    <row r="7" spans="2:19" ht="33" customHeight="1">
      <c r="B7" s="259">
        <v>500</v>
      </c>
      <c r="D7" s="35"/>
      <c r="F7" s="35"/>
      <c r="G7" s="98"/>
      <c r="H7" s="98">
        <f>(J7-N7)*O7</f>
        <v>5930200.0000000084</v>
      </c>
      <c r="I7" s="98">
        <f t="shared" si="1"/>
        <v>204134200</v>
      </c>
      <c r="J7" s="49">
        <v>102.58</v>
      </c>
      <c r="K7" s="6"/>
      <c r="L7" s="28"/>
      <c r="M7" s="98">
        <f>N7*O7</f>
        <v>198204000</v>
      </c>
      <c r="N7" s="6">
        <v>99.6</v>
      </c>
      <c r="O7" s="22">
        <v>1990000</v>
      </c>
      <c r="P7" s="6" t="s">
        <v>35</v>
      </c>
      <c r="Q7" s="6" t="s">
        <v>308</v>
      </c>
      <c r="R7" s="63" t="s">
        <v>158</v>
      </c>
      <c r="S7" s="34" t="s">
        <v>306</v>
      </c>
    </row>
    <row r="8" spans="2:19" ht="33" customHeight="1">
      <c r="D8" s="35"/>
      <c r="F8" s="35"/>
      <c r="G8" s="98"/>
      <c r="H8" s="98">
        <f>J8*O8</f>
        <v>2150840</v>
      </c>
      <c r="I8" s="98">
        <f t="shared" ref="I8" si="2">J8*O8</f>
        <v>2150840</v>
      </c>
      <c r="J8" s="49">
        <v>158.15</v>
      </c>
      <c r="K8" s="6"/>
      <c r="L8" s="28"/>
      <c r="M8" s="98">
        <v>0</v>
      </c>
      <c r="N8" s="6">
        <v>0</v>
      </c>
      <c r="O8" s="359">
        <v>13600</v>
      </c>
      <c r="P8" s="6" t="s">
        <v>82</v>
      </c>
      <c r="Q8" s="6" t="s">
        <v>482</v>
      </c>
      <c r="R8" s="63" t="s">
        <v>158</v>
      </c>
      <c r="S8" s="358" t="s">
        <v>480</v>
      </c>
    </row>
    <row r="9" spans="2:19" ht="33" customHeight="1">
      <c r="D9" s="35"/>
      <c r="F9" s="35"/>
      <c r="G9" s="98"/>
      <c r="H9" s="98">
        <f>J9*O9</f>
        <v>2070988.7999999998</v>
      </c>
      <c r="I9" s="98">
        <f t="shared" ref="I9" si="3">J9*O9</f>
        <v>2070988.7999999998</v>
      </c>
      <c r="J9" s="49">
        <v>711.68</v>
      </c>
      <c r="K9" s="6"/>
      <c r="L9" s="28"/>
      <c r="M9" s="98">
        <v>0</v>
      </c>
      <c r="N9" s="6">
        <v>0</v>
      </c>
      <c r="O9" s="359">
        <v>2910</v>
      </c>
      <c r="P9" s="6" t="s">
        <v>82</v>
      </c>
      <c r="Q9" s="6" t="s">
        <v>483</v>
      </c>
      <c r="R9" s="63" t="s">
        <v>158</v>
      </c>
      <c r="S9" s="358" t="s">
        <v>481</v>
      </c>
    </row>
    <row r="10" spans="2:19" ht="33" customHeight="1">
      <c r="B10" s="259">
        <v>300</v>
      </c>
      <c r="D10" s="20"/>
      <c r="F10" s="20"/>
      <c r="G10" s="98">
        <f>(N10-J10)*O10</f>
        <v>21514349.999999996</v>
      </c>
      <c r="H10" s="98"/>
      <c r="I10" s="98">
        <f t="shared" si="1"/>
        <v>45391650</v>
      </c>
      <c r="J10" s="49">
        <v>102.58</v>
      </c>
      <c r="K10" s="6"/>
      <c r="L10" s="28"/>
      <c r="M10" s="98">
        <f>N10*O10</f>
        <v>66905999.999999993</v>
      </c>
      <c r="N10" s="6">
        <v>151.19999999999999</v>
      </c>
      <c r="O10" s="22">
        <v>442500</v>
      </c>
      <c r="P10" s="6" t="s">
        <v>64</v>
      </c>
      <c r="Q10" s="6" t="s">
        <v>484</v>
      </c>
      <c r="R10" s="63" t="s">
        <v>158</v>
      </c>
      <c r="S10" s="34" t="s">
        <v>382</v>
      </c>
    </row>
    <row r="11" spans="2:19" ht="49.5" customHeight="1" thickBot="1">
      <c r="D11" s="116"/>
      <c r="F11" s="116"/>
      <c r="G11" s="337">
        <f>SUM(G6:G10)</f>
        <v>41633460</v>
      </c>
      <c r="H11" s="336">
        <f>SUM(H6:H10)</f>
        <v>10152028.800000008</v>
      </c>
      <c r="I11" s="402">
        <f>SUM(I6:I10)</f>
        <v>310357768.80000001</v>
      </c>
      <c r="J11" s="402"/>
      <c r="K11" s="400">
        <f>SUM(K6:K10)</f>
        <v>0</v>
      </c>
      <c r="L11" s="400"/>
      <c r="M11" s="400">
        <f>SUM(M6:M10)</f>
        <v>341839200</v>
      </c>
      <c r="N11" s="400"/>
      <c r="O11" s="39"/>
      <c r="P11" s="115"/>
      <c r="Q11" s="115" t="s">
        <v>316</v>
      </c>
      <c r="R11" s="8" t="s">
        <v>158</v>
      </c>
      <c r="S11" s="206"/>
    </row>
    <row r="12" spans="2:19" ht="49.5" customHeight="1">
      <c r="D12" s="13"/>
      <c r="F12" s="13"/>
      <c r="G12" s="99"/>
      <c r="H12" s="37"/>
      <c r="I12" s="50"/>
      <c r="J12" s="50"/>
      <c r="K12" s="37"/>
      <c r="L12" s="37"/>
      <c r="M12" s="99"/>
      <c r="N12" s="37"/>
      <c r="O12" s="24"/>
      <c r="P12" s="9"/>
      <c r="Q12" s="9"/>
      <c r="R12" s="9"/>
      <c r="S12" s="208"/>
    </row>
    <row r="13" spans="2:19" ht="23.25" hidden="1" customHeight="1">
      <c r="D13" s="77"/>
      <c r="F13" s="173"/>
      <c r="G13" s="382" t="s">
        <v>300</v>
      </c>
      <c r="H13" s="382"/>
      <c r="I13" s="382" t="s">
        <v>145</v>
      </c>
      <c r="J13" s="382"/>
      <c r="K13" s="78"/>
      <c r="L13" s="78"/>
      <c r="M13" s="199"/>
      <c r="N13" s="78"/>
      <c r="O13" s="79"/>
      <c r="P13" s="78"/>
      <c r="Q13" s="80" t="s">
        <v>171</v>
      </c>
      <c r="R13" s="41"/>
      <c r="S13" s="219"/>
    </row>
    <row r="14" spans="2:19" ht="23.25" hidden="1" customHeight="1">
      <c r="D14" s="81"/>
      <c r="F14" s="174"/>
      <c r="G14" s="96"/>
      <c r="H14" s="82"/>
      <c r="I14" s="83"/>
      <c r="J14" s="143" t="s">
        <v>146</v>
      </c>
      <c r="K14" s="144"/>
      <c r="L14" s="144"/>
      <c r="M14" s="200"/>
      <c r="N14" s="144"/>
      <c r="O14" s="135"/>
      <c r="P14" s="144"/>
      <c r="Q14" s="84" t="s">
        <v>292</v>
      </c>
      <c r="R14" s="56"/>
      <c r="S14" s="175"/>
    </row>
    <row r="15" spans="2:19" ht="23.25" hidden="1" customHeight="1" thickBot="1">
      <c r="D15" s="85"/>
      <c r="F15" s="85"/>
      <c r="G15" s="145"/>
      <c r="H15" s="136"/>
      <c r="I15" s="146"/>
      <c r="J15" s="146"/>
      <c r="K15" s="136"/>
      <c r="L15" s="136"/>
      <c r="M15" s="145" t="s">
        <v>183</v>
      </c>
      <c r="N15" s="136"/>
      <c r="O15" s="136"/>
      <c r="P15" s="136"/>
      <c r="Q15" s="86" t="s">
        <v>184</v>
      </c>
      <c r="R15" s="42"/>
      <c r="S15" s="205"/>
    </row>
    <row r="16" spans="2:19" ht="25.5" hidden="1" customHeight="1">
      <c r="D16" s="385" t="s">
        <v>144</v>
      </c>
      <c r="F16" s="385" t="s">
        <v>144</v>
      </c>
      <c r="G16" s="406" t="s">
        <v>63</v>
      </c>
      <c r="H16" s="406"/>
      <c r="I16" s="409" t="s">
        <v>170</v>
      </c>
      <c r="J16" s="409"/>
      <c r="K16" s="401" t="s">
        <v>2</v>
      </c>
      <c r="L16" s="401"/>
      <c r="M16" s="401" t="s">
        <v>220</v>
      </c>
      <c r="N16" s="401"/>
      <c r="O16" s="426" t="s">
        <v>139</v>
      </c>
      <c r="P16" s="401" t="s">
        <v>1</v>
      </c>
      <c r="Q16" s="401" t="s">
        <v>138</v>
      </c>
      <c r="R16" s="62"/>
      <c r="S16" s="424" t="s">
        <v>0</v>
      </c>
    </row>
    <row r="17" spans="2:20" ht="25.5" hidden="1" customHeight="1">
      <c r="D17" s="386"/>
      <c r="F17" s="386"/>
      <c r="G17" s="97" t="s">
        <v>143</v>
      </c>
      <c r="H17" s="49" t="s">
        <v>142</v>
      </c>
      <c r="I17" s="49" t="s">
        <v>143</v>
      </c>
      <c r="J17" s="49" t="s">
        <v>142</v>
      </c>
      <c r="K17" s="1" t="s">
        <v>4</v>
      </c>
      <c r="L17" s="1" t="s">
        <v>3</v>
      </c>
      <c r="M17" s="100" t="s">
        <v>141</v>
      </c>
      <c r="N17" s="1" t="s">
        <v>140</v>
      </c>
      <c r="O17" s="427"/>
      <c r="P17" s="422"/>
      <c r="Q17" s="422"/>
      <c r="R17" s="2"/>
      <c r="S17" s="425"/>
    </row>
    <row r="18" spans="2:20" ht="30.75" hidden="1" customHeight="1">
      <c r="D18" s="111">
        <v>10848.34</v>
      </c>
      <c r="E18" s="109"/>
      <c r="F18" s="111"/>
      <c r="G18" s="100">
        <f t="shared" ref="G18:G33" si="4">H18*O18</f>
        <v>29289600</v>
      </c>
      <c r="H18" s="1">
        <v>10848</v>
      </c>
      <c r="I18" s="40">
        <f>J18*O18</f>
        <v>-9036900</v>
      </c>
      <c r="J18" s="49">
        <f>H18-N18</f>
        <v>-3347</v>
      </c>
      <c r="K18" s="6"/>
      <c r="L18" s="4"/>
      <c r="M18" s="191">
        <f t="shared" ref="M18:M33" si="5">N18*O18</f>
        <v>38326500</v>
      </c>
      <c r="N18" s="4">
        <v>14195</v>
      </c>
      <c r="O18" s="22">
        <v>2700</v>
      </c>
      <c r="P18" s="6" t="s">
        <v>35</v>
      </c>
      <c r="Q18" s="45" t="s">
        <v>152</v>
      </c>
      <c r="R18" s="63" t="s">
        <v>158</v>
      </c>
      <c r="S18" s="38" t="s">
        <v>71</v>
      </c>
      <c r="T18" s="30"/>
    </row>
    <row r="19" spans="2:20" ht="30.75" hidden="1" customHeight="1">
      <c r="D19" s="110">
        <v>1205.3599999999999</v>
      </c>
      <c r="E19" s="109"/>
      <c r="F19" s="110"/>
      <c r="G19" s="100">
        <f t="shared" si="4"/>
        <v>18195500</v>
      </c>
      <c r="H19" s="1">
        <v>1205</v>
      </c>
      <c r="I19" s="40">
        <f t="shared" ref="I19:I33" si="6">J19*O19</f>
        <v>18195500</v>
      </c>
      <c r="J19" s="49">
        <f t="shared" ref="J19:J32" si="7">H19-N19</f>
        <v>1205</v>
      </c>
      <c r="K19" s="6"/>
      <c r="L19" s="4"/>
      <c r="M19" s="191">
        <f t="shared" si="5"/>
        <v>0</v>
      </c>
      <c r="N19" s="4"/>
      <c r="O19" s="22">
        <v>15100</v>
      </c>
      <c r="P19" s="6" t="s">
        <v>35</v>
      </c>
      <c r="Q19" s="45" t="s">
        <v>73</v>
      </c>
      <c r="R19" s="63" t="s">
        <v>158</v>
      </c>
      <c r="S19" s="38" t="s">
        <v>72</v>
      </c>
      <c r="T19" s="30"/>
    </row>
    <row r="20" spans="2:20" ht="30.75" hidden="1" customHeight="1">
      <c r="B20" s="259">
        <v>1500</v>
      </c>
      <c r="D20" s="110">
        <v>1250</v>
      </c>
      <c r="E20" s="109"/>
      <c r="F20" s="110"/>
      <c r="G20" s="100">
        <f t="shared" si="4"/>
        <v>42900000</v>
      </c>
      <c r="H20" s="1">
        <f>1250+1500</f>
        <v>2750</v>
      </c>
      <c r="I20" s="40">
        <f t="shared" si="6"/>
        <v>42900000</v>
      </c>
      <c r="J20" s="49">
        <f t="shared" si="7"/>
        <v>2750</v>
      </c>
      <c r="K20" s="6"/>
      <c r="L20" s="4"/>
      <c r="M20" s="191">
        <f t="shared" si="5"/>
        <v>0</v>
      </c>
      <c r="N20" s="4"/>
      <c r="O20" s="22">
        <v>15600</v>
      </c>
      <c r="P20" s="6" t="s">
        <v>35</v>
      </c>
      <c r="Q20" s="45" t="s">
        <v>246</v>
      </c>
      <c r="R20" s="63" t="s">
        <v>158</v>
      </c>
      <c r="S20" s="38" t="s">
        <v>245</v>
      </c>
      <c r="T20" s="30"/>
    </row>
    <row r="21" spans="2:20" ht="30.75" hidden="1" customHeight="1">
      <c r="B21" s="259" t="s">
        <v>265</v>
      </c>
      <c r="C21" s="3" t="s">
        <v>281</v>
      </c>
      <c r="D21" s="110">
        <v>942</v>
      </c>
      <c r="E21" s="109"/>
      <c r="F21" s="110"/>
      <c r="G21" s="100">
        <f t="shared" si="4"/>
        <v>10413420</v>
      </c>
      <c r="H21" s="1">
        <f>942+1000*0.4+420</f>
        <v>1762</v>
      </c>
      <c r="I21" s="40">
        <f t="shared" si="6"/>
        <v>2139420</v>
      </c>
      <c r="J21" s="49">
        <f t="shared" si="7"/>
        <v>362</v>
      </c>
      <c r="K21" s="6"/>
      <c r="L21" s="4"/>
      <c r="M21" s="191">
        <f t="shared" si="5"/>
        <v>8274000</v>
      </c>
      <c r="N21" s="4">
        <v>1400</v>
      </c>
      <c r="O21" s="22">
        <v>5910</v>
      </c>
      <c r="P21" s="6" t="s">
        <v>35</v>
      </c>
      <c r="Q21" s="45" t="s">
        <v>75</v>
      </c>
      <c r="R21" s="63" t="s">
        <v>158</v>
      </c>
      <c r="S21" s="38" t="s">
        <v>74</v>
      </c>
      <c r="T21" s="30"/>
    </row>
    <row r="22" spans="2:20" ht="30.75" hidden="1" customHeight="1">
      <c r="B22" s="259" t="s">
        <v>266</v>
      </c>
      <c r="D22" s="110">
        <v>1152.5999999999999</v>
      </c>
      <c r="E22" s="109"/>
      <c r="F22" s="110"/>
      <c r="G22" s="100">
        <f t="shared" si="4"/>
        <v>40759200</v>
      </c>
      <c r="H22" s="1">
        <f>1152+2520</f>
        <v>3672</v>
      </c>
      <c r="I22" s="40">
        <f t="shared" si="6"/>
        <v>40759200</v>
      </c>
      <c r="J22" s="49">
        <f t="shared" si="7"/>
        <v>3672</v>
      </c>
      <c r="K22" s="6"/>
      <c r="L22" s="4"/>
      <c r="M22" s="191"/>
      <c r="N22" s="4"/>
      <c r="O22" s="22">
        <v>11100</v>
      </c>
      <c r="P22" s="6" t="s">
        <v>35</v>
      </c>
      <c r="Q22" s="45" t="s">
        <v>248</v>
      </c>
      <c r="R22" s="63" t="s">
        <v>158</v>
      </c>
      <c r="S22" s="38" t="s">
        <v>247</v>
      </c>
      <c r="T22" s="30"/>
    </row>
    <row r="23" spans="2:20" ht="30.75" hidden="1" customHeight="1">
      <c r="C23" s="3" t="s">
        <v>282</v>
      </c>
      <c r="D23" s="110">
        <v>1017.33</v>
      </c>
      <c r="E23" s="109"/>
      <c r="F23" s="110"/>
      <c r="G23" s="100">
        <f t="shared" si="4"/>
        <v>97239700</v>
      </c>
      <c r="H23" s="1">
        <f>1017+1000*0.5</f>
        <v>1517</v>
      </c>
      <c r="I23" s="40">
        <f t="shared" si="6"/>
        <v>-5320300</v>
      </c>
      <c r="J23" s="49">
        <f t="shared" si="7"/>
        <v>-83</v>
      </c>
      <c r="K23" s="6"/>
      <c r="L23" s="4"/>
      <c r="M23" s="191">
        <f t="shared" si="5"/>
        <v>102560000</v>
      </c>
      <c r="N23" s="4">
        <v>1600</v>
      </c>
      <c r="O23" s="22">
        <v>64100</v>
      </c>
      <c r="P23" s="6" t="s">
        <v>35</v>
      </c>
      <c r="Q23" s="45" t="s">
        <v>77</v>
      </c>
      <c r="R23" s="63" t="s">
        <v>158</v>
      </c>
      <c r="S23" s="38" t="s">
        <v>76</v>
      </c>
      <c r="T23" s="30"/>
    </row>
    <row r="24" spans="2:20" ht="30.75" hidden="1" customHeight="1">
      <c r="B24" s="259">
        <v>800</v>
      </c>
      <c r="D24" s="110"/>
      <c r="E24" s="109"/>
      <c r="F24" s="110"/>
      <c r="G24" s="100">
        <f t="shared" si="4"/>
        <v>740000</v>
      </c>
      <c r="H24" s="1">
        <v>800</v>
      </c>
      <c r="I24" s="40">
        <f t="shared" si="6"/>
        <v>740000</v>
      </c>
      <c r="J24" s="49">
        <f t="shared" si="7"/>
        <v>800</v>
      </c>
      <c r="K24" s="6"/>
      <c r="L24" s="4"/>
      <c r="M24" s="191">
        <f t="shared" si="5"/>
        <v>0</v>
      </c>
      <c r="N24" s="4"/>
      <c r="O24" s="22">
        <v>925</v>
      </c>
      <c r="P24" s="6" t="s">
        <v>35</v>
      </c>
      <c r="Q24" s="45" t="s">
        <v>80</v>
      </c>
      <c r="R24" s="63" t="s">
        <v>158</v>
      </c>
      <c r="S24" s="38" t="s">
        <v>78</v>
      </c>
      <c r="T24" s="30"/>
    </row>
    <row r="25" spans="2:20" ht="30.75" hidden="1" customHeight="1">
      <c r="D25" s="110"/>
      <c r="E25" s="109"/>
      <c r="F25" s="110"/>
      <c r="G25" s="100">
        <f t="shared" si="4"/>
        <v>2280000</v>
      </c>
      <c r="H25" s="1">
        <v>300</v>
      </c>
      <c r="I25" s="40">
        <f t="shared" si="6"/>
        <v>2280000</v>
      </c>
      <c r="J25" s="49">
        <f t="shared" si="7"/>
        <v>300</v>
      </c>
      <c r="K25" s="6"/>
      <c r="L25" s="4"/>
      <c r="M25" s="191">
        <f t="shared" si="5"/>
        <v>0</v>
      </c>
      <c r="N25" s="4"/>
      <c r="O25" s="22">
        <v>7600</v>
      </c>
      <c r="P25" s="6" t="s">
        <v>35</v>
      </c>
      <c r="Q25" s="45" t="s">
        <v>81</v>
      </c>
      <c r="R25" s="63" t="s">
        <v>158</v>
      </c>
      <c r="S25" s="38" t="s">
        <v>79</v>
      </c>
      <c r="T25" s="30"/>
    </row>
    <row r="26" spans="2:20" ht="30.75" hidden="1" customHeight="1">
      <c r="B26" s="259">
        <v>4200</v>
      </c>
      <c r="C26" s="3">
        <v>1000</v>
      </c>
      <c r="D26" s="110">
        <v>16823.82</v>
      </c>
      <c r="E26" s="109"/>
      <c r="F26" s="110"/>
      <c r="G26" s="100">
        <f t="shared" si="4"/>
        <v>66509460</v>
      </c>
      <c r="H26" s="203">
        <f>16823+1000+4200</f>
        <v>22023</v>
      </c>
      <c r="I26" s="40">
        <f t="shared" si="6"/>
        <v>57449460</v>
      </c>
      <c r="J26" s="49">
        <f t="shared" si="7"/>
        <v>19023</v>
      </c>
      <c r="K26" s="6"/>
      <c r="L26" s="4"/>
      <c r="M26" s="191">
        <f t="shared" si="5"/>
        <v>9060000</v>
      </c>
      <c r="N26" s="4">
        <v>3000</v>
      </c>
      <c r="O26" s="22">
        <v>3020</v>
      </c>
      <c r="P26" s="6" t="s">
        <v>35</v>
      </c>
      <c r="Q26" s="46" t="s">
        <v>41</v>
      </c>
      <c r="R26" s="63" t="s">
        <v>158</v>
      </c>
      <c r="S26" s="31" t="s">
        <v>37</v>
      </c>
      <c r="T26" s="29"/>
    </row>
    <row r="27" spans="2:20" ht="30.75" hidden="1" customHeight="1">
      <c r="B27" s="259" t="s">
        <v>267</v>
      </c>
      <c r="C27" s="3" t="s">
        <v>283</v>
      </c>
      <c r="D27" s="110">
        <v>67702.559999999998</v>
      </c>
      <c r="E27" s="109"/>
      <c r="F27" s="110"/>
      <c r="G27" s="100">
        <f t="shared" si="4"/>
        <v>23453030</v>
      </c>
      <c r="H27" s="1">
        <f>67702+4*1000+4200*4</f>
        <v>88502</v>
      </c>
      <c r="I27" s="40">
        <f t="shared" si="6"/>
        <v>20273030</v>
      </c>
      <c r="J27" s="49">
        <f t="shared" si="7"/>
        <v>76502</v>
      </c>
      <c r="K27" s="6"/>
      <c r="L27" s="4"/>
      <c r="M27" s="191">
        <f t="shared" si="5"/>
        <v>3180000</v>
      </c>
      <c r="N27" s="4">
        <v>12000</v>
      </c>
      <c r="O27" s="22">
        <v>265</v>
      </c>
      <c r="P27" s="6" t="s">
        <v>35</v>
      </c>
      <c r="Q27" s="46" t="s">
        <v>42</v>
      </c>
      <c r="R27" s="63" t="s">
        <v>158</v>
      </c>
      <c r="S27" s="31" t="s">
        <v>38</v>
      </c>
      <c r="T27" s="29"/>
    </row>
    <row r="28" spans="2:20" ht="30.75" hidden="1" customHeight="1">
      <c r="B28" s="259" t="s">
        <v>268</v>
      </c>
      <c r="C28" s="3" t="s">
        <v>284</v>
      </c>
      <c r="D28" s="110">
        <v>161360.4</v>
      </c>
      <c r="E28" s="109"/>
      <c r="F28" s="110"/>
      <c r="G28" s="100">
        <f t="shared" si="4"/>
        <v>183612800</v>
      </c>
      <c r="H28" s="1">
        <f>161360+5*1000+4200*5</f>
        <v>187360</v>
      </c>
      <c r="I28" s="40">
        <f t="shared" si="6"/>
        <v>4466840</v>
      </c>
      <c r="J28" s="49">
        <f t="shared" si="7"/>
        <v>4558</v>
      </c>
      <c r="K28" s="6"/>
      <c r="L28" s="4"/>
      <c r="M28" s="191">
        <f t="shared" si="5"/>
        <v>179145960</v>
      </c>
      <c r="N28" s="4">
        <v>182802</v>
      </c>
      <c r="O28" s="22">
        <v>980</v>
      </c>
      <c r="P28" s="6" t="s">
        <v>44</v>
      </c>
      <c r="Q28" s="46" t="s">
        <v>222</v>
      </c>
      <c r="R28" s="63" t="s">
        <v>158</v>
      </c>
      <c r="S28" s="31" t="s">
        <v>39</v>
      </c>
      <c r="T28" s="29"/>
    </row>
    <row r="29" spans="2:20" ht="30.75" hidden="1" customHeight="1">
      <c r="D29" s="110">
        <v>103500</v>
      </c>
      <c r="E29" s="109"/>
      <c r="F29" s="110"/>
      <c r="G29" s="100">
        <f t="shared" si="4"/>
        <v>92632500</v>
      </c>
      <c r="H29" s="1">
        <v>103500</v>
      </c>
      <c r="I29" s="40">
        <f t="shared" si="6"/>
        <v>-10292500</v>
      </c>
      <c r="J29" s="49">
        <f t="shared" si="7"/>
        <v>-11500</v>
      </c>
      <c r="K29" s="6"/>
      <c r="L29" s="4"/>
      <c r="M29" s="191">
        <f t="shared" si="5"/>
        <v>102925000</v>
      </c>
      <c r="N29" s="4">
        <v>115000</v>
      </c>
      <c r="O29" s="22">
        <v>895</v>
      </c>
      <c r="P29" s="6" t="s">
        <v>44</v>
      </c>
      <c r="Q29" s="46" t="s">
        <v>223</v>
      </c>
      <c r="R29" s="63" t="s">
        <v>158</v>
      </c>
      <c r="S29" s="31" t="s">
        <v>221</v>
      </c>
      <c r="T29" s="29"/>
    </row>
    <row r="30" spans="2:20" ht="30.75" hidden="1" customHeight="1">
      <c r="B30" s="259" t="s">
        <v>269</v>
      </c>
      <c r="C30" s="3" t="s">
        <v>285</v>
      </c>
      <c r="D30" s="110">
        <v>8037.38</v>
      </c>
      <c r="E30" s="109"/>
      <c r="F30" s="110"/>
      <c r="G30" s="100">
        <f t="shared" si="4"/>
        <v>14662800</v>
      </c>
      <c r="H30" s="1">
        <f>8037+780*0.5*5+2232</f>
        <v>12219</v>
      </c>
      <c r="I30" s="40">
        <f t="shared" si="6"/>
        <v>14662800</v>
      </c>
      <c r="J30" s="49">
        <f t="shared" si="7"/>
        <v>12219</v>
      </c>
      <c r="K30" s="6"/>
      <c r="L30" s="4"/>
      <c r="M30" s="191">
        <f t="shared" si="5"/>
        <v>0</v>
      </c>
      <c r="N30" s="4"/>
      <c r="O30" s="105">
        <v>1200</v>
      </c>
      <c r="P30" s="10" t="s">
        <v>44</v>
      </c>
      <c r="Q30" s="47" t="s">
        <v>43</v>
      </c>
      <c r="R30" s="63" t="s">
        <v>158</v>
      </c>
      <c r="S30" s="31" t="s">
        <v>40</v>
      </c>
      <c r="T30" s="29"/>
    </row>
    <row r="31" spans="2:20" ht="30.75" hidden="1" customHeight="1">
      <c r="D31" s="110">
        <v>23833.7</v>
      </c>
      <c r="E31" s="109"/>
      <c r="F31" s="110"/>
      <c r="G31" s="100">
        <f t="shared" si="4"/>
        <v>412300000</v>
      </c>
      <c r="H31" s="1">
        <f>H33+H131</f>
        <v>11780</v>
      </c>
      <c r="I31" s="40">
        <f t="shared" si="6"/>
        <v>-791420000</v>
      </c>
      <c r="J31" s="49">
        <f t="shared" si="7"/>
        <v>-22612</v>
      </c>
      <c r="K31" s="6"/>
      <c r="L31" s="4"/>
      <c r="M31" s="192">
        <f t="shared" si="5"/>
        <v>1203720000</v>
      </c>
      <c r="N31" s="4">
        <v>34392</v>
      </c>
      <c r="O31" s="105">
        <v>35000</v>
      </c>
      <c r="P31" s="6" t="s">
        <v>35</v>
      </c>
      <c r="Q31" s="48" t="s">
        <v>225</v>
      </c>
      <c r="R31" s="63" t="s">
        <v>158</v>
      </c>
      <c r="S31" s="31" t="s">
        <v>224</v>
      </c>
      <c r="T31" s="29"/>
    </row>
    <row r="32" spans="2:20" ht="30.75" hidden="1" customHeight="1">
      <c r="D32" s="112"/>
      <c r="E32" s="109"/>
      <c r="F32" s="112"/>
      <c r="G32" s="100">
        <f t="shared" si="4"/>
        <v>2060000</v>
      </c>
      <c r="H32" s="1">
        <v>4000</v>
      </c>
      <c r="I32" s="40">
        <f t="shared" si="6"/>
        <v>2060000</v>
      </c>
      <c r="J32" s="49">
        <f t="shared" si="7"/>
        <v>4000</v>
      </c>
      <c r="K32" s="6"/>
      <c r="L32" s="4"/>
      <c r="M32" s="191">
        <f t="shared" si="5"/>
        <v>0</v>
      </c>
      <c r="N32" s="4"/>
      <c r="O32" s="105">
        <v>515</v>
      </c>
      <c r="P32" s="6" t="s">
        <v>35</v>
      </c>
      <c r="Q32" s="48" t="s">
        <v>154</v>
      </c>
      <c r="R32" s="63" t="s">
        <v>158</v>
      </c>
      <c r="S32" s="31" t="s">
        <v>153</v>
      </c>
      <c r="T32" s="29"/>
    </row>
    <row r="33" spans="2:20" ht="30.75" hidden="1" customHeight="1">
      <c r="D33" s="122">
        <v>4500</v>
      </c>
      <c r="E33" s="109"/>
      <c r="F33" s="122"/>
      <c r="G33" s="100">
        <f t="shared" si="4"/>
        <v>306000000</v>
      </c>
      <c r="H33" s="224">
        <v>4500</v>
      </c>
      <c r="I33" s="40">
        <f t="shared" si="6"/>
        <v>-34000000</v>
      </c>
      <c r="J33" s="49">
        <f>H33-N33</f>
        <v>-500</v>
      </c>
      <c r="K33" s="7"/>
      <c r="L33" s="59"/>
      <c r="M33" s="191">
        <f t="shared" si="5"/>
        <v>340000000</v>
      </c>
      <c r="N33" s="59">
        <v>5000</v>
      </c>
      <c r="O33" s="225">
        <v>68000</v>
      </c>
      <c r="P33" s="6" t="s">
        <v>35</v>
      </c>
      <c r="Q33" s="226" t="s">
        <v>227</v>
      </c>
      <c r="R33" s="63" t="s">
        <v>158</v>
      </c>
      <c r="S33" s="227" t="s">
        <v>226</v>
      </c>
      <c r="T33" s="29"/>
    </row>
    <row r="34" spans="2:20" ht="34.5" hidden="1" customHeight="1" thickBot="1">
      <c r="D34" s="118"/>
      <c r="E34" s="109"/>
      <c r="F34" s="118"/>
      <c r="G34" s="397">
        <f>SUM(G18:G33)</f>
        <v>1343048010</v>
      </c>
      <c r="H34" s="398"/>
      <c r="I34" s="402">
        <f>SUM(I18:I33)</f>
        <v>-644143450</v>
      </c>
      <c r="J34" s="402"/>
      <c r="K34" s="400">
        <f>SUM(K18:K32)</f>
        <v>0</v>
      </c>
      <c r="L34" s="400"/>
      <c r="M34" s="400">
        <f>SUM(M18:M33)</f>
        <v>1987191460</v>
      </c>
      <c r="N34" s="400"/>
      <c r="O34" s="119"/>
      <c r="P34" s="117"/>
      <c r="Q34" s="114" t="s">
        <v>5</v>
      </c>
      <c r="R34" s="8" t="s">
        <v>158</v>
      </c>
      <c r="S34" s="209"/>
      <c r="T34" s="29"/>
    </row>
    <row r="35" spans="2:20" ht="49.5" hidden="1" customHeight="1" thickBot="1">
      <c r="D35" s="13"/>
      <c r="F35" s="13"/>
      <c r="G35" s="101"/>
      <c r="H35" s="44"/>
      <c r="I35" s="51"/>
      <c r="J35" s="51"/>
      <c r="K35" s="44"/>
      <c r="L35" s="44"/>
      <c r="M35" s="101"/>
      <c r="N35" s="44"/>
      <c r="O35" s="106"/>
      <c r="P35" s="44"/>
      <c r="Q35" s="19"/>
      <c r="R35" s="70"/>
      <c r="S35" s="210"/>
      <c r="T35" s="29"/>
    </row>
    <row r="36" spans="2:20" ht="23.25" hidden="1" customHeight="1">
      <c r="D36" s="173"/>
      <c r="F36" s="173"/>
      <c r="G36" s="382" t="s">
        <v>300</v>
      </c>
      <c r="H36" s="382"/>
      <c r="I36" s="382" t="s">
        <v>145</v>
      </c>
      <c r="J36" s="382"/>
      <c r="K36" s="78"/>
      <c r="L36" s="78"/>
      <c r="M36" s="199"/>
      <c r="N36" s="78"/>
      <c r="O36" s="79"/>
      <c r="P36" s="78"/>
      <c r="Q36" s="80" t="s">
        <v>171</v>
      </c>
      <c r="R36" s="41"/>
      <c r="S36" s="219"/>
    </row>
    <row r="37" spans="2:20" ht="23.25" hidden="1" customHeight="1">
      <c r="D37" s="174"/>
      <c r="F37" s="174"/>
      <c r="G37" s="96"/>
      <c r="H37" s="82"/>
      <c r="I37" s="83"/>
      <c r="J37" s="143" t="s">
        <v>146</v>
      </c>
      <c r="K37" s="144"/>
      <c r="L37" s="144"/>
      <c r="M37" s="200"/>
      <c r="N37" s="144"/>
      <c r="O37" s="135"/>
      <c r="P37" s="144"/>
      <c r="Q37" s="84" t="s">
        <v>292</v>
      </c>
      <c r="R37" s="56"/>
      <c r="S37" s="175"/>
    </row>
    <row r="38" spans="2:20" ht="25.5" hidden="1" customHeight="1" thickBot="1">
      <c r="D38" s="176"/>
      <c r="F38" s="176"/>
      <c r="G38" s="145"/>
      <c r="H38" s="136"/>
      <c r="I38" s="146"/>
      <c r="J38" s="146"/>
      <c r="K38" s="136"/>
      <c r="L38" s="136"/>
      <c r="M38" s="145" t="s">
        <v>183</v>
      </c>
      <c r="N38" s="136"/>
      <c r="O38" s="136"/>
      <c r="P38" s="136"/>
      <c r="Q38" s="86" t="s">
        <v>185</v>
      </c>
      <c r="R38" s="42"/>
      <c r="S38" s="220"/>
    </row>
    <row r="39" spans="2:20" ht="25.5" hidden="1" customHeight="1">
      <c r="C39" s="3" t="s">
        <v>288</v>
      </c>
      <c r="D39" s="249">
        <v>462.4</v>
      </c>
      <c r="F39" s="249"/>
      <c r="G39" s="250">
        <f>H39*O39</f>
        <v>44737000</v>
      </c>
      <c r="H39" s="251">
        <f>462+100*7</f>
        <v>1162</v>
      </c>
      <c r="I39" s="40">
        <f>J39*O39</f>
        <v>42427000</v>
      </c>
      <c r="J39" s="268">
        <f>H39-N39</f>
        <v>1102</v>
      </c>
      <c r="K39" s="251"/>
      <c r="L39" s="251"/>
      <c r="M39" s="252">
        <f>N39*O39</f>
        <v>2310000</v>
      </c>
      <c r="N39" s="253">
        <v>60</v>
      </c>
      <c r="O39" s="254">
        <v>38500</v>
      </c>
      <c r="P39" s="255" t="s">
        <v>187</v>
      </c>
      <c r="Q39" s="256" t="s">
        <v>229</v>
      </c>
      <c r="R39" s="257"/>
      <c r="S39" s="258" t="s">
        <v>228</v>
      </c>
    </row>
    <row r="40" spans="2:20" ht="30.75" hidden="1" customHeight="1">
      <c r="B40" s="259">
        <v>1099</v>
      </c>
      <c r="D40" s="228">
        <v>900</v>
      </c>
      <c r="E40" s="109"/>
      <c r="F40" s="228"/>
      <c r="G40" s="100">
        <f t="shared" ref="G40:G53" si="8">H40*O40</f>
        <v>184307800</v>
      </c>
      <c r="H40" s="1">
        <f>900+1099</f>
        <v>1999</v>
      </c>
      <c r="I40" s="40">
        <f t="shared" ref="I40:I53" si="9">J40*O40</f>
        <v>168910400</v>
      </c>
      <c r="J40" s="49">
        <f t="shared" ref="J40:J53" si="10">H40-N40</f>
        <v>1832</v>
      </c>
      <c r="K40" s="1"/>
      <c r="L40" s="1"/>
      <c r="M40" s="242">
        <f t="shared" ref="M40:M53" si="11">N40*O40</f>
        <v>15397400</v>
      </c>
      <c r="N40" s="231">
        <v>167</v>
      </c>
      <c r="O40" s="232">
        <v>92200</v>
      </c>
      <c r="P40" s="229" t="s">
        <v>187</v>
      </c>
      <c r="Q40" s="230" t="s">
        <v>186</v>
      </c>
      <c r="R40" s="63"/>
      <c r="S40" s="34" t="s">
        <v>230</v>
      </c>
    </row>
    <row r="41" spans="2:20" ht="30.75" hidden="1" customHeight="1">
      <c r="D41" s="111"/>
      <c r="E41" s="109"/>
      <c r="F41" s="111"/>
      <c r="G41" s="100">
        <f t="shared" si="8"/>
        <v>0</v>
      </c>
      <c r="H41" s="1"/>
      <c r="I41" s="40">
        <f t="shared" si="9"/>
        <v>0</v>
      </c>
      <c r="J41" s="49">
        <f t="shared" si="10"/>
        <v>0</v>
      </c>
      <c r="K41" s="4"/>
      <c r="L41" s="4"/>
      <c r="M41" s="242">
        <f t="shared" si="11"/>
        <v>0</v>
      </c>
      <c r="N41" s="231"/>
      <c r="O41" s="233">
        <v>104000</v>
      </c>
      <c r="P41" s="152" t="s">
        <v>187</v>
      </c>
      <c r="Q41" s="123" t="s">
        <v>188</v>
      </c>
      <c r="R41" s="63" t="s">
        <v>158</v>
      </c>
      <c r="S41" s="38" t="s">
        <v>83</v>
      </c>
    </row>
    <row r="42" spans="2:20" ht="30.75" hidden="1" customHeight="1">
      <c r="D42" s="111"/>
      <c r="E42" s="109"/>
      <c r="F42" s="111"/>
      <c r="G42" s="100">
        <f t="shared" si="8"/>
        <v>0</v>
      </c>
      <c r="H42" s="1"/>
      <c r="I42" s="40">
        <f t="shared" si="9"/>
        <v>0</v>
      </c>
      <c r="J42" s="49">
        <f t="shared" si="10"/>
        <v>0</v>
      </c>
      <c r="K42" s="4"/>
      <c r="L42" s="4"/>
      <c r="M42" s="242">
        <f t="shared" si="11"/>
        <v>0</v>
      </c>
      <c r="N42" s="231"/>
      <c r="O42" s="234">
        <v>259500</v>
      </c>
      <c r="P42" s="153" t="s">
        <v>187</v>
      </c>
      <c r="Q42" s="124" t="s">
        <v>189</v>
      </c>
      <c r="R42" s="63" t="s">
        <v>158</v>
      </c>
      <c r="S42" s="38" t="s">
        <v>180</v>
      </c>
    </row>
    <row r="43" spans="2:20" ht="30.75" hidden="1" customHeight="1">
      <c r="B43" s="259">
        <v>2000</v>
      </c>
      <c r="D43" s="111">
        <v>1897.39</v>
      </c>
      <c r="E43" s="109"/>
      <c r="F43" s="111"/>
      <c r="G43" s="100">
        <f t="shared" si="8"/>
        <v>1077511000</v>
      </c>
      <c r="H43" s="1">
        <f>1897+2200</f>
        <v>4097</v>
      </c>
      <c r="I43" s="40">
        <f t="shared" si="9"/>
        <v>827398000</v>
      </c>
      <c r="J43" s="49">
        <f t="shared" si="10"/>
        <v>3146</v>
      </c>
      <c r="K43" s="4"/>
      <c r="L43" s="4"/>
      <c r="M43" s="242">
        <f t="shared" si="11"/>
        <v>250113000</v>
      </c>
      <c r="N43" s="231">
        <v>951</v>
      </c>
      <c r="O43" s="235">
        <v>263000</v>
      </c>
      <c r="P43" s="154" t="s">
        <v>187</v>
      </c>
      <c r="Q43" s="125" t="s">
        <v>190</v>
      </c>
      <c r="R43" s="63" t="s">
        <v>158</v>
      </c>
      <c r="S43" s="38" t="s">
        <v>172</v>
      </c>
    </row>
    <row r="44" spans="2:20" ht="30.75" hidden="1" customHeight="1">
      <c r="B44" s="259">
        <v>2000</v>
      </c>
      <c r="D44" s="111">
        <v>1860.03</v>
      </c>
      <c r="E44" s="109"/>
      <c r="F44" s="111"/>
      <c r="G44" s="100">
        <f t="shared" si="8"/>
        <v>220458000</v>
      </c>
      <c r="H44" s="1">
        <f>1860+2200</f>
        <v>4060</v>
      </c>
      <c r="I44" s="40">
        <f t="shared" si="9"/>
        <v>168818700</v>
      </c>
      <c r="J44" s="49">
        <f t="shared" si="10"/>
        <v>3109</v>
      </c>
      <c r="K44" s="4"/>
      <c r="L44" s="4"/>
      <c r="M44" s="242">
        <f t="shared" si="11"/>
        <v>51639300</v>
      </c>
      <c r="N44" s="231">
        <v>951</v>
      </c>
      <c r="O44" s="236">
        <v>54300</v>
      </c>
      <c r="P44" s="155" t="s">
        <v>187</v>
      </c>
      <c r="Q44" s="126" t="s">
        <v>191</v>
      </c>
      <c r="R44" s="63" t="s">
        <v>158</v>
      </c>
      <c r="S44" s="38" t="s">
        <v>173</v>
      </c>
    </row>
    <row r="45" spans="2:20" ht="30.75" hidden="1" customHeight="1">
      <c r="B45" s="259">
        <v>1400</v>
      </c>
      <c r="D45" s="111">
        <v>1964.98</v>
      </c>
      <c r="E45" s="109"/>
      <c r="F45" s="111"/>
      <c r="G45" s="100">
        <f t="shared" si="8"/>
        <v>225388000</v>
      </c>
      <c r="H45" s="1">
        <f>1964+1400</f>
        <v>3364</v>
      </c>
      <c r="I45" s="40">
        <f t="shared" si="9"/>
        <v>134469000</v>
      </c>
      <c r="J45" s="49">
        <f t="shared" si="10"/>
        <v>2007</v>
      </c>
      <c r="K45" s="4"/>
      <c r="L45" s="4"/>
      <c r="M45" s="242">
        <f t="shared" si="11"/>
        <v>90919000</v>
      </c>
      <c r="N45" s="231">
        <v>1357</v>
      </c>
      <c r="O45" s="237">
        <v>67000</v>
      </c>
      <c r="P45" s="156" t="s">
        <v>82</v>
      </c>
      <c r="Q45" s="127" t="s">
        <v>215</v>
      </c>
      <c r="R45" s="63" t="s">
        <v>158</v>
      </c>
      <c r="S45" s="38" t="s">
        <v>214</v>
      </c>
    </row>
    <row r="46" spans="2:20" ht="30.75" hidden="1" customHeight="1">
      <c r="D46" s="111"/>
      <c r="E46" s="109"/>
      <c r="F46" s="111"/>
      <c r="G46" s="100">
        <f t="shared" si="8"/>
        <v>0</v>
      </c>
      <c r="H46" s="1"/>
      <c r="I46" s="40">
        <f t="shared" si="9"/>
        <v>0</v>
      </c>
      <c r="J46" s="49">
        <f t="shared" si="10"/>
        <v>0</v>
      </c>
      <c r="K46" s="4"/>
      <c r="L46" s="4"/>
      <c r="M46" s="242">
        <f t="shared" si="11"/>
        <v>0</v>
      </c>
      <c r="N46" s="231"/>
      <c r="O46" s="238">
        <v>24300</v>
      </c>
      <c r="P46" s="157" t="s">
        <v>187</v>
      </c>
      <c r="Q46" s="128" t="s">
        <v>192</v>
      </c>
      <c r="R46" s="63" t="s">
        <v>158</v>
      </c>
      <c r="S46" s="38" t="s">
        <v>174</v>
      </c>
    </row>
    <row r="47" spans="2:20" ht="30.75" hidden="1" customHeight="1">
      <c r="D47" s="111"/>
      <c r="E47" s="109"/>
      <c r="F47" s="111"/>
      <c r="G47" s="100">
        <f t="shared" si="8"/>
        <v>0</v>
      </c>
      <c r="H47" s="1"/>
      <c r="I47" s="40">
        <f t="shared" si="9"/>
        <v>0</v>
      </c>
      <c r="J47" s="49">
        <f t="shared" si="10"/>
        <v>0</v>
      </c>
      <c r="K47" s="4"/>
      <c r="L47" s="4"/>
      <c r="M47" s="242">
        <f t="shared" si="11"/>
        <v>0</v>
      </c>
      <c r="N47" s="231"/>
      <c r="O47" s="238">
        <v>664000</v>
      </c>
      <c r="P47" s="157" t="s">
        <v>187</v>
      </c>
      <c r="Q47" s="128" t="s">
        <v>261</v>
      </c>
      <c r="R47" s="63" t="s">
        <v>158</v>
      </c>
      <c r="S47" s="38" t="s">
        <v>260</v>
      </c>
    </row>
    <row r="48" spans="2:20" ht="30.75" hidden="1" customHeight="1">
      <c r="B48" s="259">
        <v>70</v>
      </c>
      <c r="D48" s="111"/>
      <c r="E48" s="109"/>
      <c r="F48" s="111"/>
      <c r="G48" s="100">
        <f t="shared" si="8"/>
        <v>2394000</v>
      </c>
      <c r="H48" s="1">
        <v>70</v>
      </c>
      <c r="I48" s="40">
        <f t="shared" si="9"/>
        <v>2394000</v>
      </c>
      <c r="J48" s="49">
        <f t="shared" si="10"/>
        <v>70</v>
      </c>
      <c r="K48" s="4"/>
      <c r="L48" s="4"/>
      <c r="M48" s="242">
        <f t="shared" si="11"/>
        <v>0</v>
      </c>
      <c r="N48" s="231"/>
      <c r="O48" s="238">
        <v>34200</v>
      </c>
      <c r="P48" s="157" t="s">
        <v>187</v>
      </c>
      <c r="Q48" s="262" t="s">
        <v>259</v>
      </c>
      <c r="R48" s="63" t="s">
        <v>158</v>
      </c>
      <c r="S48" s="38" t="s">
        <v>258</v>
      </c>
    </row>
    <row r="49" spans="2:20" ht="30.75" hidden="1" customHeight="1">
      <c r="D49" s="111">
        <v>328.27</v>
      </c>
      <c r="E49" s="109"/>
      <c r="F49" s="111"/>
      <c r="G49" s="100">
        <f t="shared" si="8"/>
        <v>9118400</v>
      </c>
      <c r="H49" s="1">
        <f>328</f>
        <v>328</v>
      </c>
      <c r="I49" s="40">
        <f t="shared" si="9"/>
        <v>3558400</v>
      </c>
      <c r="J49" s="49">
        <f t="shared" si="10"/>
        <v>128</v>
      </c>
      <c r="K49" s="4"/>
      <c r="L49" s="4"/>
      <c r="M49" s="242">
        <f t="shared" si="11"/>
        <v>5560000</v>
      </c>
      <c r="N49" s="231">
        <v>200</v>
      </c>
      <c r="O49" s="239">
        <v>27800</v>
      </c>
      <c r="P49" s="157" t="s">
        <v>187</v>
      </c>
      <c r="Q49" s="129" t="s">
        <v>194</v>
      </c>
      <c r="R49" s="63" t="s">
        <v>158</v>
      </c>
      <c r="S49" s="38" t="s">
        <v>175</v>
      </c>
    </row>
    <row r="50" spans="2:20" ht="30.75" hidden="1" customHeight="1">
      <c r="D50" s="111">
        <v>964.17</v>
      </c>
      <c r="E50" s="109"/>
      <c r="F50" s="111"/>
      <c r="G50" s="100">
        <f t="shared" si="8"/>
        <v>29787600</v>
      </c>
      <c r="H50" s="1">
        <v>964</v>
      </c>
      <c r="I50" s="40">
        <f t="shared" si="9"/>
        <v>2163000</v>
      </c>
      <c r="J50" s="49">
        <f t="shared" si="10"/>
        <v>70</v>
      </c>
      <c r="K50" s="4"/>
      <c r="L50" s="4"/>
      <c r="M50" s="242">
        <f t="shared" si="11"/>
        <v>27624600</v>
      </c>
      <c r="N50" s="231">
        <v>894</v>
      </c>
      <c r="O50" s="240">
        <v>30900</v>
      </c>
      <c r="P50" s="158" t="s">
        <v>82</v>
      </c>
      <c r="Q50" s="130" t="s">
        <v>193</v>
      </c>
      <c r="R50" s="63" t="s">
        <v>158</v>
      </c>
      <c r="S50" s="38" t="s">
        <v>176</v>
      </c>
    </row>
    <row r="51" spans="2:20" ht="30.75" hidden="1" customHeight="1">
      <c r="B51" s="259" t="s">
        <v>293</v>
      </c>
      <c r="C51" s="3" t="s">
        <v>289</v>
      </c>
      <c r="D51" s="110">
        <v>27261</v>
      </c>
      <c r="E51" s="109"/>
      <c r="F51" s="110"/>
      <c r="G51" s="100">
        <f t="shared" si="8"/>
        <v>55821780</v>
      </c>
      <c r="H51" s="1">
        <f>27261+700*9+2000*9*1.3</f>
        <v>56961</v>
      </c>
      <c r="I51" s="40">
        <f t="shared" si="9"/>
        <v>44388120</v>
      </c>
      <c r="J51" s="49">
        <f t="shared" si="10"/>
        <v>45294</v>
      </c>
      <c r="K51" s="4"/>
      <c r="L51" s="4"/>
      <c r="M51" s="242">
        <f t="shared" si="11"/>
        <v>11433660</v>
      </c>
      <c r="N51" s="231">
        <v>11667</v>
      </c>
      <c r="O51" s="241">
        <v>980</v>
      </c>
      <c r="P51" s="6" t="s">
        <v>44</v>
      </c>
      <c r="Q51" s="45" t="s">
        <v>84</v>
      </c>
      <c r="R51" s="63" t="s">
        <v>158</v>
      </c>
      <c r="S51" s="38" t="s">
        <v>85</v>
      </c>
    </row>
    <row r="52" spans="2:20" ht="30.75" hidden="1" customHeight="1">
      <c r="B52" s="259" t="s">
        <v>294</v>
      </c>
      <c r="C52" s="3" t="s">
        <v>290</v>
      </c>
      <c r="D52" s="110">
        <v>76580.14</v>
      </c>
      <c r="E52" s="109"/>
      <c r="F52" s="110"/>
      <c r="G52" s="100">
        <f t="shared" si="8"/>
        <v>127609100</v>
      </c>
      <c r="H52" s="1">
        <f>76580+700*20+2000*20*1.3</f>
        <v>142580</v>
      </c>
      <c r="I52" s="40">
        <f t="shared" si="9"/>
        <v>104405330</v>
      </c>
      <c r="J52" s="49">
        <f t="shared" si="10"/>
        <v>116654</v>
      </c>
      <c r="K52" s="4"/>
      <c r="L52" s="4"/>
      <c r="M52" s="242">
        <f t="shared" si="11"/>
        <v>23203770</v>
      </c>
      <c r="N52" s="231">
        <v>25926</v>
      </c>
      <c r="O52" s="241">
        <v>895</v>
      </c>
      <c r="P52" s="6" t="s">
        <v>44</v>
      </c>
      <c r="Q52" s="45" t="s">
        <v>181</v>
      </c>
      <c r="R52" s="63" t="s">
        <v>158</v>
      </c>
      <c r="S52" s="38" t="s">
        <v>128</v>
      </c>
    </row>
    <row r="53" spans="2:20" ht="30.75" hidden="1" customHeight="1">
      <c r="B53" s="259" t="s">
        <v>295</v>
      </c>
      <c r="D53" s="122">
        <v>53865.71</v>
      </c>
      <c r="E53" s="109"/>
      <c r="F53" s="122"/>
      <c r="G53" s="100">
        <f t="shared" si="8"/>
        <v>68257475</v>
      </c>
      <c r="H53" s="58">
        <f>53865+2000*16*1.3</f>
        <v>95465</v>
      </c>
      <c r="I53" s="40">
        <f t="shared" si="9"/>
        <v>54114060</v>
      </c>
      <c r="J53" s="49">
        <f t="shared" si="10"/>
        <v>75684</v>
      </c>
      <c r="K53" s="59"/>
      <c r="L53" s="59"/>
      <c r="M53" s="242">
        <f t="shared" si="11"/>
        <v>14143415</v>
      </c>
      <c r="N53" s="231">
        <v>19781</v>
      </c>
      <c r="O53" s="241">
        <v>715</v>
      </c>
      <c r="P53" s="6" t="s">
        <v>44</v>
      </c>
      <c r="Q53" s="45" t="s">
        <v>157</v>
      </c>
      <c r="R53" s="63" t="s">
        <v>158</v>
      </c>
      <c r="S53" s="61" t="s">
        <v>156</v>
      </c>
    </row>
    <row r="54" spans="2:20" ht="36.75" hidden="1" customHeight="1" thickBot="1">
      <c r="D54" s="131"/>
      <c r="F54" s="131"/>
      <c r="G54" s="397">
        <f>SUM(G39:G53)</f>
        <v>2045390155</v>
      </c>
      <c r="H54" s="398"/>
      <c r="I54" s="399">
        <f>SUM(I39:I53)</f>
        <v>1553046010</v>
      </c>
      <c r="J54" s="399"/>
      <c r="K54" s="411">
        <f>SUM(K41:K52)</f>
        <v>0</v>
      </c>
      <c r="L54" s="411"/>
      <c r="M54" s="411">
        <f>SUM(M39:M53)</f>
        <v>492344145</v>
      </c>
      <c r="N54" s="411"/>
      <c r="O54" s="133"/>
      <c r="P54" s="132"/>
      <c r="Q54" s="134" t="s">
        <v>86</v>
      </c>
      <c r="R54" s="8" t="s">
        <v>158</v>
      </c>
      <c r="S54" s="209"/>
      <c r="T54" s="29"/>
    </row>
    <row r="55" spans="2:20" ht="49.5" hidden="1" customHeight="1" thickBot="1">
      <c r="D55" s="89"/>
      <c r="F55" s="89"/>
      <c r="G55" s="102"/>
      <c r="H55" s="92"/>
      <c r="I55" s="93"/>
      <c r="J55" s="93"/>
      <c r="K55" s="92"/>
      <c r="L55" s="92"/>
      <c r="M55" s="102"/>
      <c r="N55" s="92"/>
      <c r="O55" s="107"/>
      <c r="P55" s="92"/>
      <c r="Q55" s="94"/>
      <c r="R55" s="69"/>
      <c r="S55" s="211"/>
      <c r="T55" s="29"/>
    </row>
    <row r="56" spans="2:20" ht="23.25" hidden="1" customHeight="1">
      <c r="D56" s="77"/>
      <c r="F56" s="173"/>
      <c r="G56" s="382" t="s">
        <v>300</v>
      </c>
      <c r="H56" s="382"/>
      <c r="I56" s="382" t="s">
        <v>145</v>
      </c>
      <c r="J56" s="382"/>
      <c r="K56" s="78"/>
      <c r="L56" s="78"/>
      <c r="M56" s="199"/>
      <c r="N56" s="78"/>
      <c r="O56" s="79"/>
      <c r="P56" s="78"/>
      <c r="Q56" s="80" t="s">
        <v>171</v>
      </c>
      <c r="R56" s="41"/>
      <c r="S56" s="219"/>
    </row>
    <row r="57" spans="2:20" ht="23.25" hidden="1" customHeight="1">
      <c r="D57" s="81"/>
      <c r="F57" s="174"/>
      <c r="G57" s="96"/>
      <c r="H57" s="82"/>
      <c r="I57" s="83"/>
      <c r="J57" s="143" t="s">
        <v>146</v>
      </c>
      <c r="K57" s="144"/>
      <c r="L57" s="144"/>
      <c r="M57" s="200"/>
      <c r="N57" s="144"/>
      <c r="O57" s="135"/>
      <c r="P57" s="144"/>
      <c r="Q57" s="84" t="s">
        <v>292</v>
      </c>
      <c r="R57" s="56"/>
      <c r="S57" s="175"/>
    </row>
    <row r="58" spans="2:20" ht="23.25" hidden="1" customHeight="1" thickBot="1">
      <c r="D58" s="85"/>
      <c r="F58" s="85"/>
      <c r="G58" s="145"/>
      <c r="H58" s="136"/>
      <c r="I58" s="146"/>
      <c r="J58" s="146"/>
      <c r="K58" s="136"/>
      <c r="L58" s="136"/>
      <c r="M58" s="145" t="s">
        <v>183</v>
      </c>
      <c r="N58" s="136"/>
      <c r="O58" s="136"/>
      <c r="P58" s="136"/>
      <c r="Q58" s="86" t="s">
        <v>195</v>
      </c>
      <c r="R58" s="42"/>
      <c r="S58" s="205"/>
    </row>
    <row r="59" spans="2:20" ht="25.5" hidden="1" customHeight="1">
      <c r="D59" s="385" t="s">
        <v>144</v>
      </c>
      <c r="F59" s="385" t="s">
        <v>144</v>
      </c>
      <c r="G59" s="406" t="s">
        <v>63</v>
      </c>
      <c r="H59" s="406"/>
      <c r="I59" s="409" t="s">
        <v>170</v>
      </c>
      <c r="J59" s="409"/>
      <c r="K59" s="401" t="s">
        <v>2</v>
      </c>
      <c r="L59" s="401"/>
      <c r="M59" s="401" t="s">
        <v>169</v>
      </c>
      <c r="N59" s="401"/>
      <c r="O59" s="426" t="s">
        <v>139</v>
      </c>
      <c r="P59" s="401" t="s">
        <v>1</v>
      </c>
      <c r="Q59" s="401" t="s">
        <v>138</v>
      </c>
      <c r="R59" s="62"/>
      <c r="S59" s="424" t="s">
        <v>0</v>
      </c>
    </row>
    <row r="60" spans="2:20" ht="25.5" hidden="1" customHeight="1">
      <c r="D60" s="386"/>
      <c r="F60" s="386"/>
      <c r="G60" s="97" t="s">
        <v>143</v>
      </c>
      <c r="H60" s="49" t="s">
        <v>142</v>
      </c>
      <c r="I60" s="49" t="s">
        <v>143</v>
      </c>
      <c r="J60" s="49" t="s">
        <v>142</v>
      </c>
      <c r="K60" s="1" t="s">
        <v>4</v>
      </c>
      <c r="L60" s="1" t="s">
        <v>3</v>
      </c>
      <c r="M60" s="100" t="s">
        <v>141</v>
      </c>
      <c r="N60" s="1" t="s">
        <v>140</v>
      </c>
      <c r="O60" s="427"/>
      <c r="P60" s="422"/>
      <c r="Q60" s="422"/>
      <c r="R60" s="2"/>
      <c r="S60" s="425"/>
    </row>
    <row r="61" spans="2:20" ht="34.5" hidden="1" customHeight="1">
      <c r="D61" s="35"/>
      <c r="F61" s="35"/>
      <c r="G61" s="100">
        <f>H61*O61</f>
        <v>0</v>
      </c>
      <c r="H61" s="1"/>
      <c r="I61" s="40">
        <f>J61*O61</f>
        <v>0</v>
      </c>
      <c r="J61" s="49">
        <f>H61-N61</f>
        <v>0</v>
      </c>
      <c r="K61" s="6"/>
      <c r="L61" s="4"/>
      <c r="M61" s="191"/>
      <c r="N61" s="4"/>
      <c r="O61" s="147">
        <v>25900</v>
      </c>
      <c r="P61" s="159" t="s">
        <v>82</v>
      </c>
      <c r="Q61" s="137" t="s">
        <v>196</v>
      </c>
      <c r="R61" s="63" t="s">
        <v>158</v>
      </c>
      <c r="S61" s="38" t="s">
        <v>177</v>
      </c>
      <c r="T61" s="29"/>
    </row>
    <row r="62" spans="2:20" ht="34.5" hidden="1" customHeight="1">
      <c r="D62" s="35"/>
      <c r="F62" s="35"/>
      <c r="G62" s="100">
        <f>H62*O62</f>
        <v>0</v>
      </c>
      <c r="H62" s="1"/>
      <c r="I62" s="40">
        <f>J62*O62</f>
        <v>0</v>
      </c>
      <c r="J62" s="49">
        <f>H62-N62</f>
        <v>0</v>
      </c>
      <c r="K62" s="6"/>
      <c r="L62" s="4"/>
      <c r="M62" s="191"/>
      <c r="N62" s="4"/>
      <c r="O62" s="148">
        <v>39700</v>
      </c>
      <c r="P62" s="160" t="s">
        <v>82</v>
      </c>
      <c r="Q62" s="138" t="s">
        <v>197</v>
      </c>
      <c r="R62" s="63" t="s">
        <v>158</v>
      </c>
      <c r="S62" s="38" t="s">
        <v>178</v>
      </c>
      <c r="T62" s="29"/>
    </row>
    <row r="63" spans="2:20" ht="34.5" hidden="1" customHeight="1">
      <c r="B63" s="259">
        <v>1613</v>
      </c>
      <c r="D63" s="35">
        <v>1964.98</v>
      </c>
      <c r="F63" s="35"/>
      <c r="G63" s="100">
        <f>H63*O63</f>
        <v>29689100</v>
      </c>
      <c r="H63" s="1">
        <f>1964+1613</f>
        <v>3577</v>
      </c>
      <c r="I63" s="40">
        <f>J63*O63</f>
        <v>18426000</v>
      </c>
      <c r="J63" s="49">
        <f>H63-N63</f>
        <v>2220</v>
      </c>
      <c r="K63" s="6"/>
      <c r="L63" s="4"/>
      <c r="M63" s="191">
        <f>N63*O63</f>
        <v>11263100</v>
      </c>
      <c r="N63" s="4">
        <v>1357</v>
      </c>
      <c r="O63" s="149">
        <v>8300</v>
      </c>
      <c r="P63" s="161" t="s">
        <v>82</v>
      </c>
      <c r="Q63" s="222" t="s">
        <v>217</v>
      </c>
      <c r="R63" s="63" t="s">
        <v>158</v>
      </c>
      <c r="S63" s="38" t="s">
        <v>216</v>
      </c>
      <c r="T63" s="29"/>
    </row>
    <row r="64" spans="2:20" ht="34.5" hidden="1" customHeight="1">
      <c r="D64" s="35">
        <v>333.12</v>
      </c>
      <c r="F64" s="35"/>
      <c r="G64" s="100">
        <f>H64*O64</f>
        <v>1698300</v>
      </c>
      <c r="H64" s="1">
        <v>333</v>
      </c>
      <c r="I64" s="40">
        <f>J64*O64</f>
        <v>234600</v>
      </c>
      <c r="J64" s="49">
        <f>H64-N64</f>
        <v>46</v>
      </c>
      <c r="K64" s="6"/>
      <c r="L64" s="4"/>
      <c r="M64" s="191">
        <f>N64*O64</f>
        <v>1463700</v>
      </c>
      <c r="N64" s="4">
        <v>287</v>
      </c>
      <c r="O64" s="150">
        <v>5100</v>
      </c>
      <c r="P64" s="162" t="s">
        <v>82</v>
      </c>
      <c r="Q64" s="139" t="s">
        <v>198</v>
      </c>
      <c r="R64" s="63" t="s">
        <v>158</v>
      </c>
      <c r="S64" s="38" t="s">
        <v>179</v>
      </c>
      <c r="T64" s="29"/>
    </row>
    <row r="65" spans="2:20" ht="33.75" hidden="1" customHeight="1" thickBot="1">
      <c r="D65" s="21"/>
      <c r="F65" s="21"/>
      <c r="G65" s="395">
        <f>SUM(G61:G64)</f>
        <v>31387400</v>
      </c>
      <c r="H65" s="396"/>
      <c r="I65" s="416">
        <f>SUM(I61:I64)</f>
        <v>18660600</v>
      </c>
      <c r="J65" s="417"/>
      <c r="K65" s="8">
        <f>L65*O65</f>
        <v>0</v>
      </c>
      <c r="L65" s="15"/>
      <c r="M65" s="418">
        <f>SUM(M63:M64)</f>
        <v>12726800</v>
      </c>
      <c r="N65" s="419"/>
      <c r="O65" s="23"/>
      <c r="P65" s="8"/>
      <c r="Q65" s="134" t="s">
        <v>199</v>
      </c>
      <c r="R65" s="120" t="s">
        <v>158</v>
      </c>
      <c r="S65" s="121"/>
      <c r="T65" s="29"/>
    </row>
    <row r="66" spans="2:20" ht="25.5" hidden="1" customHeight="1" thickBot="1">
      <c r="D66" s="85"/>
      <c r="F66" s="85"/>
      <c r="G66" s="145"/>
      <c r="H66" s="136"/>
      <c r="I66" s="146"/>
      <c r="J66" s="146"/>
      <c r="K66" s="136"/>
      <c r="L66" s="136"/>
      <c r="M66" s="145" t="s">
        <v>183</v>
      </c>
      <c r="N66" s="136"/>
      <c r="O66" s="136"/>
      <c r="P66" s="136"/>
      <c r="Q66" s="86" t="s">
        <v>200</v>
      </c>
      <c r="R66" s="42"/>
      <c r="S66" s="205"/>
    </row>
    <row r="67" spans="2:20" ht="30" hidden="1" customHeight="1">
      <c r="B67" s="259" t="s">
        <v>262</v>
      </c>
      <c r="C67" s="3">
        <v>300</v>
      </c>
      <c r="D67" s="91">
        <v>184.4</v>
      </c>
      <c r="F67" s="91"/>
      <c r="G67" s="141">
        <f>H67*O67</f>
        <v>50483200</v>
      </c>
      <c r="H67" s="49">
        <f>184+300+540</f>
        <v>1024</v>
      </c>
      <c r="I67" s="40">
        <f>J67*O67</f>
        <v>39144200</v>
      </c>
      <c r="J67" s="49">
        <f>H67-N67</f>
        <v>794</v>
      </c>
      <c r="K67" s="1"/>
      <c r="L67" s="1"/>
      <c r="M67" s="243">
        <f>N67*O67</f>
        <v>11339000</v>
      </c>
      <c r="N67" s="244">
        <v>230</v>
      </c>
      <c r="O67" s="151">
        <v>49300</v>
      </c>
      <c r="P67" s="163" t="s">
        <v>82</v>
      </c>
      <c r="Q67" s="140" t="s">
        <v>201</v>
      </c>
      <c r="R67" s="63" t="s">
        <v>158</v>
      </c>
      <c r="S67" s="212">
        <v>80101</v>
      </c>
    </row>
    <row r="68" spans="2:20" ht="33" hidden="1" customHeight="1">
      <c r="C68" s="3">
        <v>30</v>
      </c>
      <c r="D68" s="20"/>
      <c r="F68" s="20"/>
      <c r="G68" s="141">
        <f t="shared" ref="G68:G77" si="12">H68*O68</f>
        <v>2082000</v>
      </c>
      <c r="H68" s="1">
        <v>30</v>
      </c>
      <c r="I68" s="40">
        <f t="shared" ref="I68:I77" si="13">J68*O68</f>
        <v>2082000</v>
      </c>
      <c r="J68" s="49">
        <f t="shared" ref="J68:J77" si="14">H68-N68</f>
        <v>30</v>
      </c>
      <c r="K68" s="6"/>
      <c r="L68" s="4"/>
      <c r="M68" s="243">
        <f t="shared" ref="M68:M77" si="15">N68*O68</f>
        <v>0</v>
      </c>
      <c r="N68" s="245"/>
      <c r="O68" s="246">
        <v>69400</v>
      </c>
      <c r="P68" s="6" t="s">
        <v>36</v>
      </c>
      <c r="Q68" s="45" t="s">
        <v>203</v>
      </c>
      <c r="R68" s="63" t="s">
        <v>158</v>
      </c>
      <c r="S68" s="38" t="s">
        <v>114</v>
      </c>
    </row>
    <row r="69" spans="2:20" ht="33" hidden="1" customHeight="1">
      <c r="C69" s="3">
        <v>100</v>
      </c>
      <c r="D69" s="20"/>
      <c r="F69" s="20"/>
      <c r="G69" s="141">
        <f t="shared" si="12"/>
        <v>9650000</v>
      </c>
      <c r="H69" s="1">
        <v>100</v>
      </c>
      <c r="I69" s="40">
        <f t="shared" si="13"/>
        <v>-59830000</v>
      </c>
      <c r="J69" s="49">
        <f t="shared" si="14"/>
        <v>-620</v>
      </c>
      <c r="K69" s="6"/>
      <c r="L69" s="4"/>
      <c r="M69" s="243">
        <f t="shared" si="15"/>
        <v>69480000</v>
      </c>
      <c r="N69" s="245">
        <v>720</v>
      </c>
      <c r="O69" s="246">
        <v>96500</v>
      </c>
      <c r="P69" s="6" t="s">
        <v>36</v>
      </c>
      <c r="Q69" s="45" t="s">
        <v>104</v>
      </c>
      <c r="R69" s="63" t="s">
        <v>158</v>
      </c>
      <c r="S69" s="38" t="s">
        <v>103</v>
      </c>
    </row>
    <row r="70" spans="2:20" ht="33" hidden="1" customHeight="1">
      <c r="C70" s="266">
        <v>600</v>
      </c>
      <c r="D70" s="20"/>
      <c r="F70" s="20"/>
      <c r="G70" s="141">
        <f t="shared" si="12"/>
        <v>53750000</v>
      </c>
      <c r="H70" s="1">
        <v>500</v>
      </c>
      <c r="I70" s="40">
        <f t="shared" si="13"/>
        <v>53750000</v>
      </c>
      <c r="J70" s="49">
        <f t="shared" si="14"/>
        <v>500</v>
      </c>
      <c r="K70" s="6"/>
      <c r="L70" s="4"/>
      <c r="M70" s="243">
        <f t="shared" si="15"/>
        <v>0</v>
      </c>
      <c r="N70" s="245"/>
      <c r="O70" s="246">
        <v>107500</v>
      </c>
      <c r="P70" s="6" t="s">
        <v>36</v>
      </c>
      <c r="Q70" s="45" t="s">
        <v>130</v>
      </c>
      <c r="R70" s="63" t="s">
        <v>158</v>
      </c>
      <c r="S70" s="38" t="s">
        <v>129</v>
      </c>
    </row>
    <row r="71" spans="2:20" ht="33" hidden="1" customHeight="1">
      <c r="C71" s="266">
        <v>470</v>
      </c>
      <c r="D71" s="20"/>
      <c r="F71" s="20"/>
      <c r="G71" s="141">
        <f t="shared" si="12"/>
        <v>42000000</v>
      </c>
      <c r="H71" s="1">
        <v>350</v>
      </c>
      <c r="I71" s="40">
        <f t="shared" si="13"/>
        <v>42000000</v>
      </c>
      <c r="J71" s="49">
        <f t="shared" si="14"/>
        <v>350</v>
      </c>
      <c r="K71" s="6"/>
      <c r="L71" s="4"/>
      <c r="M71" s="243">
        <f t="shared" si="15"/>
        <v>0</v>
      </c>
      <c r="N71" s="245"/>
      <c r="O71" s="246">
        <v>120000</v>
      </c>
      <c r="P71" s="6" t="s">
        <v>36</v>
      </c>
      <c r="Q71" s="45" t="s">
        <v>116</v>
      </c>
      <c r="R71" s="63" t="s">
        <v>158</v>
      </c>
      <c r="S71" s="38" t="s">
        <v>115</v>
      </c>
    </row>
    <row r="72" spans="2:20" ht="33" hidden="1" customHeight="1">
      <c r="D72" s="20">
        <v>1521.75</v>
      </c>
      <c r="F72" s="20"/>
      <c r="G72" s="141">
        <f t="shared" si="12"/>
        <v>238036500</v>
      </c>
      <c r="H72" s="1">
        <v>1521</v>
      </c>
      <c r="I72" s="40">
        <f t="shared" si="13"/>
        <v>-5164500</v>
      </c>
      <c r="J72" s="49">
        <f t="shared" si="14"/>
        <v>-33</v>
      </c>
      <c r="K72" s="6"/>
      <c r="L72" s="4"/>
      <c r="M72" s="243">
        <f t="shared" si="15"/>
        <v>243201000</v>
      </c>
      <c r="N72" s="245">
        <v>1554</v>
      </c>
      <c r="O72" s="246">
        <v>156500</v>
      </c>
      <c r="P72" s="6" t="s">
        <v>36</v>
      </c>
      <c r="Q72" s="45" t="s">
        <v>232</v>
      </c>
      <c r="R72" s="63" t="s">
        <v>158</v>
      </c>
      <c r="S72" s="38" t="s">
        <v>231</v>
      </c>
    </row>
    <row r="73" spans="2:20" ht="33" hidden="1" customHeight="1">
      <c r="D73" s="20"/>
      <c r="F73" s="20"/>
      <c r="G73" s="141">
        <f t="shared" si="12"/>
        <v>0</v>
      </c>
      <c r="H73" s="1"/>
      <c r="I73" s="40">
        <f t="shared" si="13"/>
        <v>0</v>
      </c>
      <c r="J73" s="49">
        <f t="shared" si="14"/>
        <v>0</v>
      </c>
      <c r="K73" s="6"/>
      <c r="L73" s="4"/>
      <c r="M73" s="243">
        <f t="shared" si="15"/>
        <v>0</v>
      </c>
      <c r="N73" s="245"/>
      <c r="O73" s="246">
        <v>37500</v>
      </c>
      <c r="P73" s="6" t="s">
        <v>36</v>
      </c>
      <c r="Q73" s="45" t="s">
        <v>147</v>
      </c>
      <c r="R73" s="63" t="s">
        <v>158</v>
      </c>
      <c r="S73" s="36" t="s">
        <v>132</v>
      </c>
    </row>
    <row r="74" spans="2:20" ht="33" hidden="1" customHeight="1">
      <c r="D74" s="20"/>
      <c r="F74" s="20"/>
      <c r="G74" s="141">
        <f t="shared" si="12"/>
        <v>0</v>
      </c>
      <c r="H74" s="1"/>
      <c r="I74" s="40">
        <f t="shared" si="13"/>
        <v>0</v>
      </c>
      <c r="J74" s="49">
        <f t="shared" si="14"/>
        <v>0</v>
      </c>
      <c r="K74" s="6"/>
      <c r="L74" s="4"/>
      <c r="M74" s="243">
        <f t="shared" si="15"/>
        <v>0</v>
      </c>
      <c r="N74" s="245"/>
      <c r="O74" s="246">
        <v>32400</v>
      </c>
      <c r="P74" s="6" t="s">
        <v>36</v>
      </c>
      <c r="Q74" s="45" t="s">
        <v>133</v>
      </c>
      <c r="R74" s="63" t="s">
        <v>158</v>
      </c>
      <c r="S74" s="36" t="s">
        <v>131</v>
      </c>
    </row>
    <row r="75" spans="2:20" ht="33" hidden="1" customHeight="1">
      <c r="D75" s="20"/>
      <c r="F75" s="20"/>
      <c r="G75" s="141">
        <f t="shared" si="12"/>
        <v>0</v>
      </c>
      <c r="H75" s="1"/>
      <c r="I75" s="40">
        <f t="shared" si="13"/>
        <v>0</v>
      </c>
      <c r="J75" s="49">
        <f t="shared" si="14"/>
        <v>0</v>
      </c>
      <c r="K75" s="6"/>
      <c r="L75" s="4"/>
      <c r="M75" s="243">
        <f t="shared" si="15"/>
        <v>0</v>
      </c>
      <c r="N75" s="245"/>
      <c r="O75" s="246">
        <v>13400</v>
      </c>
      <c r="P75" s="6" t="s">
        <v>36</v>
      </c>
      <c r="Q75" s="46" t="s">
        <v>90</v>
      </c>
      <c r="R75" s="63" t="s">
        <v>158</v>
      </c>
      <c r="S75" s="36" t="s">
        <v>88</v>
      </c>
    </row>
    <row r="76" spans="2:20" ht="33" hidden="1" customHeight="1">
      <c r="B76" s="259">
        <v>5520</v>
      </c>
      <c r="C76" s="3">
        <v>3500</v>
      </c>
      <c r="D76" s="20">
        <v>7547.5</v>
      </c>
      <c r="F76" s="20"/>
      <c r="G76" s="141">
        <f t="shared" si="12"/>
        <v>88799120</v>
      </c>
      <c r="H76" s="1">
        <f>7547+3500+5520</f>
        <v>16567</v>
      </c>
      <c r="I76" s="40">
        <f t="shared" si="13"/>
        <v>84484320</v>
      </c>
      <c r="J76" s="49">
        <f t="shared" si="14"/>
        <v>15762</v>
      </c>
      <c r="K76" s="6"/>
      <c r="L76" s="4"/>
      <c r="M76" s="243">
        <f t="shared" si="15"/>
        <v>4314800</v>
      </c>
      <c r="N76" s="245">
        <v>805</v>
      </c>
      <c r="O76" s="246">
        <v>5360</v>
      </c>
      <c r="P76" s="4" t="s">
        <v>47</v>
      </c>
      <c r="Q76" s="46" t="s">
        <v>46</v>
      </c>
      <c r="R76" s="63" t="s">
        <v>158</v>
      </c>
      <c r="S76" s="36" t="s">
        <v>45</v>
      </c>
    </row>
    <row r="77" spans="2:20" ht="33" hidden="1" customHeight="1">
      <c r="C77" s="3">
        <v>300</v>
      </c>
      <c r="D77" s="20"/>
      <c r="F77" s="20"/>
      <c r="G77" s="141">
        <f t="shared" si="12"/>
        <v>18960000</v>
      </c>
      <c r="H77" s="1">
        <v>300</v>
      </c>
      <c r="I77" s="40">
        <f t="shared" si="13"/>
        <v>18960000</v>
      </c>
      <c r="J77" s="49">
        <f t="shared" si="14"/>
        <v>300</v>
      </c>
      <c r="K77" s="6"/>
      <c r="L77" s="4"/>
      <c r="M77" s="243">
        <f t="shared" si="15"/>
        <v>0</v>
      </c>
      <c r="N77" s="245"/>
      <c r="O77" s="246">
        <v>63200</v>
      </c>
      <c r="P77" s="6" t="s">
        <v>36</v>
      </c>
      <c r="Q77" s="46" t="s">
        <v>87</v>
      </c>
      <c r="R77" s="63" t="s">
        <v>158</v>
      </c>
      <c r="S77" s="36" t="s">
        <v>89</v>
      </c>
    </row>
    <row r="78" spans="2:20" ht="33" hidden="1" customHeight="1" thickBot="1">
      <c r="D78" s="142"/>
      <c r="F78" s="142"/>
      <c r="G78" s="412">
        <f>SUM(G67:G77)</f>
        <v>503760820</v>
      </c>
      <c r="H78" s="413"/>
      <c r="I78" s="399">
        <f>SUM(I67:I77)</f>
        <v>175426020</v>
      </c>
      <c r="J78" s="399"/>
      <c r="K78" s="411">
        <f>SUM(K66:K77)</f>
        <v>0</v>
      </c>
      <c r="L78" s="411"/>
      <c r="M78" s="411">
        <f>SUM(M67:M77)</f>
        <v>328334800</v>
      </c>
      <c r="N78" s="411"/>
      <c r="O78" s="133"/>
      <c r="P78" s="132"/>
      <c r="Q78" s="132" t="s">
        <v>6</v>
      </c>
      <c r="R78" s="8"/>
      <c r="S78" s="209"/>
    </row>
    <row r="79" spans="2:20" ht="49.5" hidden="1" customHeight="1" thickBot="1">
      <c r="D79" s="13"/>
      <c r="F79" s="13"/>
      <c r="G79" s="99"/>
      <c r="H79" s="37"/>
      <c r="I79" s="50"/>
      <c r="J79" s="50"/>
      <c r="K79" s="37"/>
      <c r="L79" s="37"/>
      <c r="M79" s="99"/>
      <c r="N79" s="37"/>
      <c r="O79" s="24"/>
      <c r="P79" s="9"/>
      <c r="Q79" s="9"/>
      <c r="R79" s="70"/>
      <c r="S79" s="208"/>
    </row>
    <row r="80" spans="2:20" ht="25.5" hidden="1" customHeight="1">
      <c r="D80" s="77"/>
      <c r="F80" s="173"/>
      <c r="G80" s="382" t="s">
        <v>300</v>
      </c>
      <c r="H80" s="382"/>
      <c r="I80" s="382" t="s">
        <v>145</v>
      </c>
      <c r="J80" s="382"/>
      <c r="K80" s="78"/>
      <c r="L80" s="78"/>
      <c r="M80" s="199"/>
      <c r="N80" s="78"/>
      <c r="O80" s="79"/>
      <c r="P80" s="78"/>
      <c r="Q80" s="80" t="s">
        <v>171</v>
      </c>
      <c r="R80" s="41"/>
      <c r="S80" s="219"/>
    </row>
    <row r="81" spans="2:20" ht="25.5" hidden="1" customHeight="1">
      <c r="D81" s="81"/>
      <c r="F81" s="174"/>
      <c r="G81" s="96"/>
      <c r="H81" s="82"/>
      <c r="I81" s="83"/>
      <c r="J81" s="143" t="s">
        <v>146</v>
      </c>
      <c r="K81" s="144"/>
      <c r="L81" s="144"/>
      <c r="M81" s="200"/>
      <c r="N81" s="144"/>
      <c r="O81" s="135"/>
      <c r="P81" s="144"/>
      <c r="Q81" s="84" t="s">
        <v>292</v>
      </c>
      <c r="R81" s="56"/>
      <c r="S81" s="175"/>
    </row>
    <row r="82" spans="2:20" ht="25.5" hidden="1" customHeight="1" thickBot="1">
      <c r="D82" s="85"/>
      <c r="F82" s="85"/>
      <c r="G82" s="145"/>
      <c r="H82" s="136"/>
      <c r="I82" s="146"/>
      <c r="J82" s="146"/>
      <c r="K82" s="136"/>
      <c r="L82" s="136"/>
      <c r="M82" s="145" t="s">
        <v>183</v>
      </c>
      <c r="N82" s="136"/>
      <c r="O82" s="136"/>
      <c r="P82" s="136"/>
      <c r="Q82" s="86" t="s">
        <v>202</v>
      </c>
      <c r="R82" s="42"/>
      <c r="S82" s="205"/>
    </row>
    <row r="83" spans="2:20" ht="30" hidden="1" customHeight="1">
      <c r="D83" s="385" t="s">
        <v>144</v>
      </c>
      <c r="F83" s="385"/>
      <c r="G83" s="406" t="s">
        <v>63</v>
      </c>
      <c r="H83" s="406"/>
      <c r="I83" s="409" t="s">
        <v>170</v>
      </c>
      <c r="J83" s="409"/>
      <c r="K83" s="401" t="s">
        <v>2</v>
      </c>
      <c r="L83" s="401"/>
      <c r="M83" s="401" t="s">
        <v>169</v>
      </c>
      <c r="N83" s="401"/>
      <c r="O83" s="426" t="s">
        <v>139</v>
      </c>
      <c r="P83" s="401" t="s">
        <v>1</v>
      </c>
      <c r="Q83" s="401" t="s">
        <v>138</v>
      </c>
      <c r="R83" s="63"/>
      <c r="S83" s="424" t="s">
        <v>0</v>
      </c>
    </row>
    <row r="84" spans="2:20" ht="30" hidden="1" customHeight="1">
      <c r="D84" s="386"/>
      <c r="F84" s="386"/>
      <c r="G84" s="97" t="s">
        <v>143</v>
      </c>
      <c r="H84" s="49" t="s">
        <v>142</v>
      </c>
      <c r="I84" s="49" t="s">
        <v>143</v>
      </c>
      <c r="J84" s="49" t="s">
        <v>142</v>
      </c>
      <c r="K84" s="1" t="s">
        <v>4</v>
      </c>
      <c r="L84" s="1" t="s">
        <v>3</v>
      </c>
      <c r="M84" s="100" t="s">
        <v>141</v>
      </c>
      <c r="N84" s="1" t="s">
        <v>140</v>
      </c>
      <c r="O84" s="427"/>
      <c r="P84" s="422"/>
      <c r="Q84" s="422"/>
      <c r="R84" s="63"/>
      <c r="S84" s="425"/>
    </row>
    <row r="85" spans="2:20" ht="31.5" hidden="1" customHeight="1">
      <c r="D85" s="20">
        <v>7265</v>
      </c>
      <c r="F85" s="20"/>
      <c r="G85" s="100">
        <f>H85*O85</f>
        <v>58410600</v>
      </c>
      <c r="H85" s="1">
        <v>7265</v>
      </c>
      <c r="I85" s="40">
        <f>J85*O85</f>
        <v>3770760</v>
      </c>
      <c r="J85" s="49">
        <f>H85-N85</f>
        <v>469</v>
      </c>
      <c r="K85" s="4"/>
      <c r="L85" s="4"/>
      <c r="M85" s="191">
        <f>N85*O85</f>
        <v>54639840</v>
      </c>
      <c r="N85" s="4">
        <v>6796</v>
      </c>
      <c r="O85" s="22">
        <v>8040</v>
      </c>
      <c r="P85" s="4" t="s">
        <v>48</v>
      </c>
      <c r="Q85" s="6" t="s">
        <v>94</v>
      </c>
      <c r="R85" s="63" t="s">
        <v>158</v>
      </c>
      <c r="S85" s="36" t="s">
        <v>91</v>
      </c>
    </row>
    <row r="86" spans="2:20" ht="31.5" hidden="1" customHeight="1">
      <c r="D86" s="20">
        <v>53957.8</v>
      </c>
      <c r="F86" s="20"/>
      <c r="G86" s="100">
        <f>H86*O86</f>
        <v>349637805.00666648</v>
      </c>
      <c r="H86" s="267">
        <v>54974.497642557624</v>
      </c>
      <c r="I86" s="40">
        <f>J86*O86</f>
        <v>17779365.006666489</v>
      </c>
      <c r="J86" s="49">
        <f>H86-N86</f>
        <v>2795.4976425576242</v>
      </c>
      <c r="K86" s="4"/>
      <c r="L86" s="4"/>
      <c r="M86" s="191">
        <f>N86*O86</f>
        <v>331858440</v>
      </c>
      <c r="N86" s="4">
        <v>52179</v>
      </c>
      <c r="O86" s="22">
        <v>6360</v>
      </c>
      <c r="P86" s="4" t="s">
        <v>48</v>
      </c>
      <c r="Q86" s="6" t="s">
        <v>95</v>
      </c>
      <c r="R86" s="63" t="s">
        <v>158</v>
      </c>
      <c r="S86" s="36" t="s">
        <v>92</v>
      </c>
    </row>
    <row r="87" spans="2:20" ht="31.5" hidden="1" customHeight="1">
      <c r="B87" s="259" t="s">
        <v>263</v>
      </c>
      <c r="D87" s="20">
        <v>27030.59</v>
      </c>
      <c r="F87" s="20"/>
      <c r="G87" s="100">
        <f>H87*O87</f>
        <v>171782280</v>
      </c>
      <c r="H87" s="223">
        <v>28069</v>
      </c>
      <c r="I87" s="40">
        <f>J87*O87</f>
        <v>171782280</v>
      </c>
      <c r="J87" s="49">
        <f>H87-N87</f>
        <v>28069</v>
      </c>
      <c r="K87" s="4"/>
      <c r="L87" s="4"/>
      <c r="M87" s="191">
        <f>N87*O87</f>
        <v>0</v>
      </c>
      <c r="N87" s="4"/>
      <c r="O87" s="22">
        <v>6120</v>
      </c>
      <c r="P87" s="4" t="s">
        <v>48</v>
      </c>
      <c r="Q87" s="4" t="s">
        <v>96</v>
      </c>
      <c r="R87" s="63" t="s">
        <v>158</v>
      </c>
      <c r="S87" s="36" t="s">
        <v>93</v>
      </c>
    </row>
    <row r="88" spans="2:20" ht="31.5" hidden="1" customHeight="1">
      <c r="D88" s="20"/>
      <c r="F88" s="20"/>
      <c r="G88" s="100">
        <f>H88*O88</f>
        <v>0</v>
      </c>
      <c r="H88" s="1"/>
      <c r="I88" s="40">
        <f>J88*O88</f>
        <v>0</v>
      </c>
      <c r="J88" s="49">
        <f>H88-N88</f>
        <v>0</v>
      </c>
      <c r="K88" s="4"/>
      <c r="L88" s="4"/>
      <c r="M88" s="191">
        <f>N88*O88</f>
        <v>0</v>
      </c>
      <c r="N88" s="4"/>
      <c r="O88" s="22">
        <v>325</v>
      </c>
      <c r="P88" s="4" t="s">
        <v>48</v>
      </c>
      <c r="Q88" s="4" t="s">
        <v>118</v>
      </c>
      <c r="R88" s="63" t="s">
        <v>158</v>
      </c>
      <c r="S88" s="36" t="s">
        <v>117</v>
      </c>
    </row>
    <row r="89" spans="2:20" ht="31.5" hidden="1" customHeight="1">
      <c r="D89" s="20"/>
      <c r="F89" s="20"/>
      <c r="G89" s="100">
        <f>H89*O89</f>
        <v>0</v>
      </c>
      <c r="H89" s="1"/>
      <c r="I89" s="40">
        <f>J89*O89</f>
        <v>0</v>
      </c>
      <c r="J89" s="49">
        <f>H89-N89</f>
        <v>0</v>
      </c>
      <c r="K89" s="4"/>
      <c r="L89" s="4"/>
      <c r="M89" s="191">
        <f>N89*O89</f>
        <v>0</v>
      </c>
      <c r="N89" s="4"/>
      <c r="O89" s="22">
        <v>12600</v>
      </c>
      <c r="P89" s="4" t="s">
        <v>48</v>
      </c>
      <c r="Q89" s="45" t="s">
        <v>135</v>
      </c>
      <c r="R89" s="63" t="s">
        <v>158</v>
      </c>
      <c r="S89" s="36" t="s">
        <v>134</v>
      </c>
    </row>
    <row r="90" spans="2:20" ht="31.5" hidden="1" customHeight="1" thickBot="1">
      <c r="D90" s="57"/>
      <c r="F90" s="57"/>
      <c r="G90" s="414">
        <f>SUM(G85:G89)</f>
        <v>579830685.00666642</v>
      </c>
      <c r="H90" s="415"/>
      <c r="I90" s="430">
        <f>SUM(I85:I89)</f>
        <v>193332405.00666648</v>
      </c>
      <c r="J90" s="430"/>
      <c r="K90" s="423">
        <f>SUM(K85:K89)</f>
        <v>0</v>
      </c>
      <c r="L90" s="423"/>
      <c r="M90" s="423">
        <f>SUM(M85:M89)</f>
        <v>386498280</v>
      </c>
      <c r="N90" s="423"/>
      <c r="O90" s="423"/>
      <c r="P90" s="423"/>
      <c r="Q90" s="164" t="s">
        <v>7</v>
      </c>
      <c r="R90" s="165"/>
      <c r="S90" s="213"/>
    </row>
    <row r="91" spans="2:20" ht="27.75" hidden="1" customHeight="1">
      <c r="D91" s="186"/>
      <c r="F91" s="186"/>
      <c r="G91" s="187"/>
      <c r="H91" s="188"/>
      <c r="I91" s="189"/>
      <c r="J91" s="189"/>
      <c r="K91" s="188"/>
      <c r="L91" s="188"/>
      <c r="M91" s="201" t="s">
        <v>183</v>
      </c>
      <c r="N91" s="188"/>
      <c r="O91" s="190"/>
      <c r="P91" s="188"/>
      <c r="Q91" s="188" t="s">
        <v>8</v>
      </c>
      <c r="R91" s="188"/>
      <c r="S91" s="215"/>
    </row>
    <row r="92" spans="2:20" ht="28.5" hidden="1" customHeight="1">
      <c r="D92" s="5">
        <v>650</v>
      </c>
      <c r="F92" s="5"/>
      <c r="G92" s="191">
        <f>H92*O92</f>
        <v>11505000</v>
      </c>
      <c r="H92" s="1">
        <v>650</v>
      </c>
      <c r="I92" s="40">
        <f>J92*O92</f>
        <v>11505000</v>
      </c>
      <c r="J92" s="49">
        <f>H92-N92</f>
        <v>650</v>
      </c>
      <c r="K92" s="6"/>
      <c r="L92" s="4"/>
      <c r="M92" s="191"/>
      <c r="N92" s="4"/>
      <c r="O92" s="22">
        <v>17700</v>
      </c>
      <c r="P92" s="6" t="s">
        <v>48</v>
      </c>
      <c r="Q92" s="45" t="s">
        <v>250</v>
      </c>
      <c r="R92" s="6" t="s">
        <v>158</v>
      </c>
      <c r="S92" s="34" t="s">
        <v>249</v>
      </c>
    </row>
    <row r="93" spans="2:20" ht="28.5" hidden="1" customHeight="1">
      <c r="D93" s="5"/>
      <c r="F93" s="5"/>
      <c r="G93" s="191">
        <f>H93*O93</f>
        <v>0</v>
      </c>
      <c r="H93" s="1"/>
      <c r="I93" s="40">
        <f>J93*O93</f>
        <v>0</v>
      </c>
      <c r="J93" s="49">
        <f>H93-N93</f>
        <v>0</v>
      </c>
      <c r="K93" s="6"/>
      <c r="L93" s="4"/>
      <c r="M93" s="191"/>
      <c r="N93" s="4"/>
      <c r="O93" s="22">
        <v>12500</v>
      </c>
      <c r="P93" s="6" t="s">
        <v>48</v>
      </c>
      <c r="Q93" s="45" t="s">
        <v>119</v>
      </c>
      <c r="R93" s="6" t="s">
        <v>158</v>
      </c>
      <c r="S93" s="207">
        <v>110301</v>
      </c>
      <c r="T93" s="27"/>
    </row>
    <row r="94" spans="2:20" ht="28.5" hidden="1" customHeight="1" thickBot="1">
      <c r="D94" s="185">
        <v>1220</v>
      </c>
      <c r="F94" s="185"/>
      <c r="G94" s="191">
        <f>H94*O94</f>
        <v>54900000</v>
      </c>
      <c r="H94" s="43">
        <v>1220</v>
      </c>
      <c r="I94" s="40">
        <f>J94*O94</f>
        <v>900000</v>
      </c>
      <c r="J94" s="49">
        <f>H94-N94</f>
        <v>20</v>
      </c>
      <c r="K94" s="8"/>
      <c r="L94" s="15"/>
      <c r="M94" s="197">
        <f>N94*O94</f>
        <v>54000000</v>
      </c>
      <c r="N94" s="15">
        <v>1200</v>
      </c>
      <c r="O94" s="23">
        <v>45000</v>
      </c>
      <c r="P94" s="8" t="s">
        <v>48</v>
      </c>
      <c r="Q94" s="198" t="s">
        <v>233</v>
      </c>
      <c r="R94" s="8" t="s">
        <v>159</v>
      </c>
      <c r="S94" s="209">
        <v>110304</v>
      </c>
      <c r="T94" s="27"/>
    </row>
    <row r="95" spans="2:20" ht="28.5" hidden="1" customHeight="1" thickBot="1">
      <c r="D95" s="193"/>
      <c r="F95" s="193"/>
      <c r="G95" s="404">
        <f>SUM(G92:G94)</f>
        <v>66405000</v>
      </c>
      <c r="H95" s="405"/>
      <c r="I95" s="410">
        <f>SUM(I92:I94)</f>
        <v>12405000</v>
      </c>
      <c r="J95" s="410"/>
      <c r="K95" s="431">
        <f>SUM(K92:K94)</f>
        <v>0</v>
      </c>
      <c r="L95" s="431"/>
      <c r="M95" s="431">
        <f>SUM(M92:M94)</f>
        <v>54000000</v>
      </c>
      <c r="N95" s="431"/>
      <c r="O95" s="195"/>
      <c r="P95" s="194"/>
      <c r="Q95" s="194" t="s">
        <v>10</v>
      </c>
      <c r="R95" s="196"/>
      <c r="S95" s="216"/>
    </row>
    <row r="96" spans="2:20" ht="49.5" hidden="1" customHeight="1" thickBot="1">
      <c r="G96" s="101"/>
      <c r="H96" s="17"/>
      <c r="I96" s="52"/>
      <c r="J96" s="52"/>
      <c r="K96" s="17"/>
      <c r="L96" s="17"/>
      <c r="M96" s="101"/>
      <c r="N96" s="17"/>
      <c r="O96" s="24"/>
      <c r="P96" s="17"/>
      <c r="Q96" s="18"/>
      <c r="R96" s="18"/>
      <c r="S96" s="210"/>
    </row>
    <row r="97" spans="2:19" ht="25.5" hidden="1" customHeight="1">
      <c r="D97" s="77"/>
      <c r="F97" s="173"/>
      <c r="G97" s="382" t="s">
        <v>300</v>
      </c>
      <c r="H97" s="382"/>
      <c r="I97" s="382" t="s">
        <v>145</v>
      </c>
      <c r="J97" s="382"/>
      <c r="K97" s="78"/>
      <c r="L97" s="78"/>
      <c r="M97" s="199"/>
      <c r="N97" s="78"/>
      <c r="O97" s="79"/>
      <c r="P97" s="78"/>
      <c r="Q97" s="80" t="s">
        <v>171</v>
      </c>
      <c r="R97" s="41"/>
      <c r="S97" s="219"/>
    </row>
    <row r="98" spans="2:19" ht="25.5" hidden="1" customHeight="1">
      <c r="D98" s="81"/>
      <c r="F98" s="174"/>
      <c r="G98" s="96"/>
      <c r="H98" s="82"/>
      <c r="I98" s="83"/>
      <c r="J98" s="143" t="s">
        <v>146</v>
      </c>
      <c r="K98" s="144"/>
      <c r="L98" s="144"/>
      <c r="M98" s="200"/>
      <c r="N98" s="144"/>
      <c r="O98" s="135"/>
      <c r="P98" s="144"/>
      <c r="Q98" s="84" t="s">
        <v>292</v>
      </c>
      <c r="R98" s="56"/>
      <c r="S98" s="175"/>
    </row>
    <row r="99" spans="2:19" ht="25.5" hidden="1" customHeight="1" thickBot="1">
      <c r="D99" s="85"/>
      <c r="F99" s="85"/>
      <c r="G99" s="145"/>
      <c r="H99" s="136"/>
      <c r="I99" s="146"/>
      <c r="J99" s="146"/>
      <c r="K99" s="136"/>
      <c r="L99" s="136"/>
      <c r="M99" s="202" t="s">
        <v>183</v>
      </c>
      <c r="N99" s="136"/>
      <c r="O99" s="136"/>
      <c r="P99" s="136"/>
      <c r="Q99" s="86" t="s">
        <v>206</v>
      </c>
      <c r="R99" s="42"/>
      <c r="S99" s="205"/>
    </row>
    <row r="100" spans="2:19" ht="30" hidden="1" customHeight="1">
      <c r="D100" s="385" t="s">
        <v>144</v>
      </c>
      <c r="F100" s="385" t="s">
        <v>144</v>
      </c>
      <c r="G100" s="406" t="s">
        <v>63</v>
      </c>
      <c r="H100" s="406"/>
      <c r="I100" s="409" t="s">
        <v>170</v>
      </c>
      <c r="J100" s="409"/>
      <c r="K100" s="401" t="s">
        <v>2</v>
      </c>
      <c r="L100" s="401"/>
      <c r="M100" s="401" t="s">
        <v>169</v>
      </c>
      <c r="N100" s="401"/>
      <c r="O100" s="426" t="s">
        <v>139</v>
      </c>
      <c r="P100" s="401" t="s">
        <v>1</v>
      </c>
      <c r="Q100" s="401" t="s">
        <v>138</v>
      </c>
      <c r="R100" s="62"/>
      <c r="S100" s="424" t="s">
        <v>0</v>
      </c>
    </row>
    <row r="101" spans="2:19" ht="30" hidden="1" customHeight="1">
      <c r="D101" s="386"/>
      <c r="F101" s="386"/>
      <c r="G101" s="97" t="s">
        <v>143</v>
      </c>
      <c r="H101" s="49" t="s">
        <v>142</v>
      </c>
      <c r="I101" s="49" t="s">
        <v>143</v>
      </c>
      <c r="J101" s="49" t="s">
        <v>142</v>
      </c>
      <c r="K101" s="1" t="s">
        <v>4</v>
      </c>
      <c r="L101" s="1" t="s">
        <v>3</v>
      </c>
      <c r="M101" s="100" t="s">
        <v>141</v>
      </c>
      <c r="N101" s="1" t="s">
        <v>140</v>
      </c>
      <c r="O101" s="427"/>
      <c r="P101" s="422"/>
      <c r="Q101" s="422"/>
      <c r="R101" s="2"/>
      <c r="S101" s="425"/>
    </row>
    <row r="102" spans="2:19" ht="30" hidden="1" customHeight="1">
      <c r="D102" s="55"/>
      <c r="F102" s="55"/>
      <c r="G102" s="100">
        <f>H102*O102</f>
        <v>0</v>
      </c>
      <c r="H102" s="49"/>
      <c r="I102" s="40">
        <f>J102*O102</f>
        <v>0</v>
      </c>
      <c r="J102" s="49">
        <f>H102-N102</f>
        <v>0</v>
      </c>
      <c r="K102" s="1"/>
      <c r="L102" s="1"/>
      <c r="M102" s="191">
        <f>N102*O102</f>
        <v>0</v>
      </c>
      <c r="N102" s="1"/>
      <c r="O102" s="22">
        <v>220000</v>
      </c>
      <c r="P102" s="6" t="s">
        <v>35</v>
      </c>
      <c r="Q102" s="45" t="s">
        <v>219</v>
      </c>
      <c r="R102" s="2"/>
      <c r="S102" s="34" t="s">
        <v>218</v>
      </c>
    </row>
    <row r="103" spans="2:19" ht="39" hidden="1" customHeight="1">
      <c r="D103" s="20"/>
      <c r="F103" s="20"/>
      <c r="G103" s="100">
        <f t="shared" ref="G103:G118" si="16">H103*O103</f>
        <v>0</v>
      </c>
      <c r="H103" s="1"/>
      <c r="I103" s="40">
        <f t="shared" ref="I103:I118" si="17">J103*O103</f>
        <v>0</v>
      </c>
      <c r="J103" s="49">
        <f t="shared" ref="J103:J118" si="18">H103-N103</f>
        <v>0</v>
      </c>
      <c r="K103" s="6"/>
      <c r="L103" s="6"/>
      <c r="M103" s="191">
        <f t="shared" ref="M103:M118" si="19">N103*O103</f>
        <v>0</v>
      </c>
      <c r="N103" s="6"/>
      <c r="O103" s="22">
        <v>249500</v>
      </c>
      <c r="P103" s="6" t="s">
        <v>35</v>
      </c>
      <c r="Q103" s="45" t="s">
        <v>182</v>
      </c>
      <c r="R103" s="66" t="s">
        <v>158</v>
      </c>
      <c r="S103" s="34">
        <v>120103</v>
      </c>
    </row>
    <row r="104" spans="2:19" ht="39" hidden="1" customHeight="1">
      <c r="B104" s="259">
        <v>893</v>
      </c>
      <c r="C104" s="3">
        <v>2150</v>
      </c>
      <c r="D104" s="20">
        <v>416.5</v>
      </c>
      <c r="F104" s="20"/>
      <c r="G104" s="100">
        <f t="shared" si="16"/>
        <v>970249500</v>
      </c>
      <c r="H104" s="1">
        <f>416+2150+893</f>
        <v>3459</v>
      </c>
      <c r="I104" s="40">
        <f t="shared" si="17"/>
        <v>754264500</v>
      </c>
      <c r="J104" s="49">
        <f t="shared" si="18"/>
        <v>2689</v>
      </c>
      <c r="K104" s="6"/>
      <c r="L104" s="6"/>
      <c r="M104" s="191">
        <f t="shared" si="19"/>
        <v>215985000</v>
      </c>
      <c r="N104" s="6">
        <v>770</v>
      </c>
      <c r="O104" s="22">
        <v>280500</v>
      </c>
      <c r="P104" s="6" t="s">
        <v>35</v>
      </c>
      <c r="Q104" s="46" t="s">
        <v>120</v>
      </c>
      <c r="R104" s="66" t="s">
        <v>158</v>
      </c>
      <c r="S104" s="34">
        <v>120104</v>
      </c>
    </row>
    <row r="105" spans="2:19" ht="39" hidden="1" customHeight="1">
      <c r="D105" s="20">
        <v>92.36</v>
      </c>
      <c r="F105" s="20"/>
      <c r="G105" s="100">
        <f t="shared" si="16"/>
        <v>31096000</v>
      </c>
      <c r="H105" s="1">
        <v>92</v>
      </c>
      <c r="I105" s="40">
        <f t="shared" si="17"/>
        <v>0</v>
      </c>
      <c r="J105" s="49">
        <f t="shared" si="18"/>
        <v>0</v>
      </c>
      <c r="K105" s="6"/>
      <c r="L105" s="6"/>
      <c r="M105" s="191">
        <f t="shared" si="19"/>
        <v>31096000</v>
      </c>
      <c r="N105" s="4">
        <v>92</v>
      </c>
      <c r="O105" s="22">
        <v>338000</v>
      </c>
      <c r="P105" s="6" t="s">
        <v>35</v>
      </c>
      <c r="Q105" s="46" t="s">
        <v>51</v>
      </c>
      <c r="R105" s="66" t="s">
        <v>158</v>
      </c>
      <c r="S105" s="207" t="s">
        <v>49</v>
      </c>
    </row>
    <row r="106" spans="2:19" ht="39" hidden="1" customHeight="1">
      <c r="D106" s="20">
        <v>708.39</v>
      </c>
      <c r="F106" s="20"/>
      <c r="G106" s="100">
        <f t="shared" si="16"/>
        <v>258774000</v>
      </c>
      <c r="H106" s="1">
        <v>708</v>
      </c>
      <c r="I106" s="40">
        <f t="shared" si="17"/>
        <v>-17909500</v>
      </c>
      <c r="J106" s="49">
        <f t="shared" si="18"/>
        <v>-49</v>
      </c>
      <c r="K106" s="6"/>
      <c r="L106" s="6"/>
      <c r="M106" s="191">
        <f t="shared" si="19"/>
        <v>276683500</v>
      </c>
      <c r="N106" s="4">
        <v>757</v>
      </c>
      <c r="O106" s="22">
        <v>365500</v>
      </c>
      <c r="P106" s="6" t="s">
        <v>35</v>
      </c>
      <c r="Q106" s="46" t="s">
        <v>160</v>
      </c>
      <c r="R106" s="66" t="s">
        <v>158</v>
      </c>
      <c r="S106" s="207">
        <v>120107</v>
      </c>
    </row>
    <row r="107" spans="2:19" ht="39" hidden="1" customHeight="1">
      <c r="D107" s="20"/>
      <c r="F107" s="20"/>
      <c r="G107" s="100">
        <f t="shared" si="16"/>
        <v>0</v>
      </c>
      <c r="H107" s="1"/>
      <c r="I107" s="40">
        <f t="shared" si="17"/>
        <v>0</v>
      </c>
      <c r="J107" s="49">
        <f t="shared" si="18"/>
        <v>0</v>
      </c>
      <c r="K107" s="6"/>
      <c r="L107" s="6"/>
      <c r="M107" s="191">
        <f t="shared" si="19"/>
        <v>0</v>
      </c>
      <c r="N107" s="4"/>
      <c r="O107" s="22">
        <v>25400</v>
      </c>
      <c r="P107" s="6" t="s">
        <v>35</v>
      </c>
      <c r="Q107" s="46" t="s">
        <v>161</v>
      </c>
      <c r="R107" s="66" t="s">
        <v>158</v>
      </c>
      <c r="S107" s="207">
        <v>120110</v>
      </c>
    </row>
    <row r="108" spans="2:19" ht="39" hidden="1" customHeight="1">
      <c r="C108" s="3">
        <v>1800</v>
      </c>
      <c r="D108" s="20">
        <v>118.37</v>
      </c>
      <c r="F108" s="20"/>
      <c r="G108" s="100">
        <f t="shared" si="16"/>
        <v>37796000</v>
      </c>
      <c r="H108" s="1">
        <f>118+1600</f>
        <v>1718</v>
      </c>
      <c r="I108" s="40">
        <f t="shared" si="17"/>
        <v>18832000</v>
      </c>
      <c r="J108" s="49">
        <f t="shared" si="18"/>
        <v>856</v>
      </c>
      <c r="K108" s="6"/>
      <c r="L108" s="6"/>
      <c r="M108" s="191">
        <f t="shared" si="19"/>
        <v>18964000</v>
      </c>
      <c r="N108" s="4">
        <v>862</v>
      </c>
      <c r="O108" s="22">
        <v>22000</v>
      </c>
      <c r="P108" s="6" t="s">
        <v>35</v>
      </c>
      <c r="Q108" s="46" t="s">
        <v>121</v>
      </c>
      <c r="R108" s="66" t="s">
        <v>158</v>
      </c>
      <c r="S108" s="207">
        <v>120302</v>
      </c>
    </row>
    <row r="109" spans="2:19" ht="39" hidden="1" customHeight="1">
      <c r="C109" s="3">
        <f>2300-1800</f>
        <v>500</v>
      </c>
      <c r="D109" s="20">
        <v>709.89</v>
      </c>
      <c r="F109" s="20"/>
      <c r="G109" s="100">
        <f t="shared" si="16"/>
        <v>45469000</v>
      </c>
      <c r="H109" s="1">
        <f>709+400</f>
        <v>1109</v>
      </c>
      <c r="I109" s="40">
        <f t="shared" si="17"/>
        <v>14432000</v>
      </c>
      <c r="J109" s="49">
        <f t="shared" si="18"/>
        <v>352</v>
      </c>
      <c r="K109" s="6"/>
      <c r="L109" s="6"/>
      <c r="M109" s="191">
        <f t="shared" si="19"/>
        <v>31037000</v>
      </c>
      <c r="N109" s="4">
        <v>757</v>
      </c>
      <c r="O109" s="22">
        <v>41000</v>
      </c>
      <c r="P109" s="6" t="s">
        <v>35</v>
      </c>
      <c r="Q109" s="46" t="s">
        <v>122</v>
      </c>
      <c r="R109" s="66" t="s">
        <v>158</v>
      </c>
      <c r="S109" s="207">
        <v>120303</v>
      </c>
    </row>
    <row r="110" spans="2:19" ht="39" hidden="1" customHeight="1">
      <c r="D110" s="20"/>
      <c r="F110" s="20"/>
      <c r="G110" s="100">
        <f t="shared" si="16"/>
        <v>0</v>
      </c>
      <c r="H110" s="1"/>
      <c r="I110" s="40">
        <f t="shared" si="17"/>
        <v>0</v>
      </c>
      <c r="J110" s="49">
        <f t="shared" si="18"/>
        <v>0</v>
      </c>
      <c r="K110" s="6"/>
      <c r="L110" s="6"/>
      <c r="M110" s="191">
        <f t="shared" si="19"/>
        <v>0</v>
      </c>
      <c r="N110" s="4"/>
      <c r="O110" s="108">
        <v>29300</v>
      </c>
      <c r="P110" s="6" t="s">
        <v>35</v>
      </c>
      <c r="Q110" s="46" t="s">
        <v>123</v>
      </c>
      <c r="R110" s="66" t="s">
        <v>158</v>
      </c>
      <c r="S110" s="207">
        <v>120305</v>
      </c>
    </row>
    <row r="111" spans="2:19" ht="39" hidden="1" customHeight="1">
      <c r="D111" s="20"/>
      <c r="F111" s="20"/>
      <c r="G111" s="100">
        <f t="shared" si="16"/>
        <v>0</v>
      </c>
      <c r="H111" s="1"/>
      <c r="I111" s="40">
        <f t="shared" si="17"/>
        <v>0</v>
      </c>
      <c r="J111" s="49">
        <f t="shared" si="18"/>
        <v>0</v>
      </c>
      <c r="K111" s="6"/>
      <c r="L111" s="6"/>
      <c r="M111" s="191">
        <f t="shared" si="19"/>
        <v>0</v>
      </c>
      <c r="N111" s="4"/>
      <c r="O111" s="22">
        <v>26400</v>
      </c>
      <c r="P111" s="6" t="s">
        <v>35</v>
      </c>
      <c r="Q111" s="46" t="s">
        <v>124</v>
      </c>
      <c r="R111" s="66" t="s">
        <v>158</v>
      </c>
      <c r="S111" s="207">
        <v>120307</v>
      </c>
    </row>
    <row r="112" spans="2:19" ht="39" hidden="1" customHeight="1">
      <c r="D112" s="20">
        <v>800.75</v>
      </c>
      <c r="F112" s="20"/>
      <c r="G112" s="100">
        <f t="shared" si="16"/>
        <v>4416000</v>
      </c>
      <c r="H112" s="203">
        <v>800</v>
      </c>
      <c r="I112" s="40">
        <f t="shared" si="17"/>
        <v>-270480</v>
      </c>
      <c r="J112" s="49">
        <f t="shared" si="18"/>
        <v>-49</v>
      </c>
      <c r="K112" s="6"/>
      <c r="L112" s="6"/>
      <c r="M112" s="191">
        <f t="shared" si="19"/>
        <v>4686480</v>
      </c>
      <c r="N112" s="4">
        <v>849</v>
      </c>
      <c r="O112" s="22">
        <v>5520</v>
      </c>
      <c r="P112" s="6" t="s">
        <v>35</v>
      </c>
      <c r="Q112" s="46" t="s">
        <v>52</v>
      </c>
      <c r="R112" s="66" t="s">
        <v>158</v>
      </c>
      <c r="S112" s="207" t="s">
        <v>50</v>
      </c>
    </row>
    <row r="113" spans="2:19" ht="39" hidden="1" customHeight="1">
      <c r="B113" s="259" t="s">
        <v>270</v>
      </c>
      <c r="C113" s="3" t="s">
        <v>296</v>
      </c>
      <c r="D113" s="110"/>
      <c r="F113" s="110"/>
      <c r="G113" s="100">
        <f t="shared" si="16"/>
        <v>12172000</v>
      </c>
      <c r="H113" s="1">
        <f>2150*250+223250</f>
        <v>760750</v>
      </c>
      <c r="I113" s="40">
        <f t="shared" si="17"/>
        <v>12172000</v>
      </c>
      <c r="J113" s="49">
        <f t="shared" si="18"/>
        <v>760750</v>
      </c>
      <c r="K113" s="6"/>
      <c r="L113" s="6"/>
      <c r="M113" s="191">
        <f t="shared" si="19"/>
        <v>0</v>
      </c>
      <c r="N113" s="4"/>
      <c r="O113" s="22">
        <v>16</v>
      </c>
      <c r="P113" s="6" t="s">
        <v>48</v>
      </c>
      <c r="Q113" s="46" t="s">
        <v>162</v>
      </c>
      <c r="R113" s="66" t="s">
        <v>158</v>
      </c>
      <c r="S113" s="207">
        <v>120701</v>
      </c>
    </row>
    <row r="114" spans="2:19" ht="39" hidden="1" customHeight="1">
      <c r="D114" s="110">
        <v>413319.5</v>
      </c>
      <c r="F114" s="110"/>
      <c r="G114" s="100">
        <f t="shared" si="16"/>
        <v>13226208</v>
      </c>
      <c r="H114" s="1">
        <v>413319</v>
      </c>
      <c r="I114" s="40">
        <f t="shared" si="17"/>
        <v>-3653792</v>
      </c>
      <c r="J114" s="49">
        <f t="shared" si="18"/>
        <v>-114181</v>
      </c>
      <c r="K114" s="6"/>
      <c r="L114" s="6"/>
      <c r="M114" s="191">
        <f t="shared" si="19"/>
        <v>16880000</v>
      </c>
      <c r="N114" s="4">
        <v>527500</v>
      </c>
      <c r="O114" s="22">
        <v>32</v>
      </c>
      <c r="P114" s="6" t="s">
        <v>48</v>
      </c>
      <c r="Q114" s="45" t="s">
        <v>235</v>
      </c>
      <c r="R114" s="66" t="s">
        <v>158</v>
      </c>
      <c r="S114" s="34" t="s">
        <v>234</v>
      </c>
    </row>
    <row r="115" spans="2:19" ht="39" hidden="1" customHeight="1">
      <c r="D115" s="110">
        <v>11000</v>
      </c>
      <c r="F115" s="110"/>
      <c r="G115" s="100">
        <f t="shared" si="16"/>
        <v>6545000</v>
      </c>
      <c r="H115" s="1">
        <v>11000</v>
      </c>
      <c r="I115" s="40">
        <f t="shared" si="17"/>
        <v>6545000</v>
      </c>
      <c r="J115" s="49">
        <f t="shared" si="18"/>
        <v>11000</v>
      </c>
      <c r="K115" s="6"/>
      <c r="L115" s="6"/>
      <c r="M115" s="191">
        <f t="shared" si="19"/>
        <v>0</v>
      </c>
      <c r="N115" s="4"/>
      <c r="O115" s="169">
        <v>595</v>
      </c>
      <c r="P115" s="166" t="s">
        <v>204</v>
      </c>
      <c r="Q115" s="167" t="s">
        <v>205</v>
      </c>
      <c r="R115" s="66" t="s">
        <v>158</v>
      </c>
      <c r="S115" s="207">
        <v>120703</v>
      </c>
    </row>
    <row r="116" spans="2:19" ht="39" hidden="1" customHeight="1">
      <c r="B116" s="259" t="s">
        <v>271</v>
      </c>
      <c r="C116" s="3" t="s">
        <v>297</v>
      </c>
      <c r="D116" s="57">
        <v>17156.169999999998</v>
      </c>
      <c r="F116" s="57"/>
      <c r="G116" s="100">
        <f t="shared" si="16"/>
        <v>100991020</v>
      </c>
      <c r="H116" s="58">
        <f>17156+2150*14+893*14</f>
        <v>59758</v>
      </c>
      <c r="I116" s="40">
        <f t="shared" si="17"/>
        <v>62413390</v>
      </c>
      <c r="J116" s="49">
        <f t="shared" si="18"/>
        <v>36931</v>
      </c>
      <c r="K116" s="7"/>
      <c r="L116" s="59"/>
      <c r="M116" s="191">
        <f t="shared" si="19"/>
        <v>38577630</v>
      </c>
      <c r="N116" s="168">
        <v>22827</v>
      </c>
      <c r="O116" s="60">
        <v>1690</v>
      </c>
      <c r="P116" s="4" t="s">
        <v>44</v>
      </c>
      <c r="Q116" s="74" t="s">
        <v>163</v>
      </c>
      <c r="R116" s="66" t="s">
        <v>158</v>
      </c>
      <c r="S116" s="213">
        <v>120801</v>
      </c>
    </row>
    <row r="117" spans="2:19" ht="39" hidden="1" customHeight="1">
      <c r="B117" s="259" t="s">
        <v>272</v>
      </c>
      <c r="C117" s="3" t="s">
        <v>298</v>
      </c>
      <c r="D117" s="57">
        <v>19358.900000000001</v>
      </c>
      <c r="F117" s="57"/>
      <c r="G117" s="100">
        <f t="shared" si="16"/>
        <v>53861780</v>
      </c>
      <c r="H117" s="58">
        <f>19358+2150*1.3*9+10448</f>
        <v>54961</v>
      </c>
      <c r="I117" s="40">
        <f t="shared" si="17"/>
        <v>32781980</v>
      </c>
      <c r="J117" s="49">
        <f t="shared" si="18"/>
        <v>33451</v>
      </c>
      <c r="K117" s="7"/>
      <c r="L117" s="59"/>
      <c r="M117" s="191">
        <f t="shared" si="19"/>
        <v>21079800</v>
      </c>
      <c r="N117" s="73">
        <v>21510</v>
      </c>
      <c r="O117" s="60">
        <v>980</v>
      </c>
      <c r="P117" s="4" t="s">
        <v>44</v>
      </c>
      <c r="Q117" s="74" t="s">
        <v>164</v>
      </c>
      <c r="R117" s="66" t="s">
        <v>158</v>
      </c>
      <c r="S117" s="213">
        <v>121001</v>
      </c>
    </row>
    <row r="118" spans="2:19" ht="39" hidden="1" customHeight="1">
      <c r="B118" s="259" t="s">
        <v>273</v>
      </c>
      <c r="C118" s="266" t="s">
        <v>299</v>
      </c>
      <c r="D118" s="57">
        <v>64529.75</v>
      </c>
      <c r="F118" s="57"/>
      <c r="G118" s="100">
        <f t="shared" si="16"/>
        <v>155725100</v>
      </c>
      <c r="H118" s="58">
        <f>34827+2150*1.3*30+64529</f>
        <v>183206</v>
      </c>
      <c r="I118" s="40">
        <f t="shared" si="17"/>
        <v>94780100</v>
      </c>
      <c r="J118" s="49">
        <f t="shared" si="18"/>
        <v>111506</v>
      </c>
      <c r="K118" s="7"/>
      <c r="L118" s="59"/>
      <c r="M118" s="191">
        <f t="shared" si="19"/>
        <v>60945000</v>
      </c>
      <c r="N118" s="73">
        <v>71700</v>
      </c>
      <c r="O118" s="60">
        <v>850</v>
      </c>
      <c r="P118" s="4" t="s">
        <v>44</v>
      </c>
      <c r="Q118" s="74" t="s">
        <v>165</v>
      </c>
      <c r="R118" s="66" t="s">
        <v>158</v>
      </c>
      <c r="S118" s="213">
        <v>121002</v>
      </c>
    </row>
    <row r="119" spans="2:19" ht="39" hidden="1" customHeight="1" thickBot="1">
      <c r="D119" s="21"/>
      <c r="F119" s="21"/>
      <c r="G119" s="397">
        <f>SUM(G102:G118)</f>
        <v>1690321608</v>
      </c>
      <c r="H119" s="398"/>
      <c r="I119" s="402">
        <f>SUM(I102:I118)</f>
        <v>974387198</v>
      </c>
      <c r="J119" s="402"/>
      <c r="K119" s="400">
        <f>SUM(K103:K115)</f>
        <v>0</v>
      </c>
      <c r="L119" s="400"/>
      <c r="M119" s="400">
        <f>SUM(M102:M118)</f>
        <v>715934410</v>
      </c>
      <c r="N119" s="400"/>
      <c r="O119" s="39"/>
      <c r="P119" s="115"/>
      <c r="Q119" s="115" t="s">
        <v>11</v>
      </c>
      <c r="R119" s="67"/>
      <c r="S119" s="209"/>
    </row>
    <row r="120" spans="2:19" ht="49.5" hidden="1" customHeight="1" thickBot="1">
      <c r="D120" s="13"/>
      <c r="F120" s="13"/>
      <c r="G120" s="99"/>
      <c r="H120" s="37"/>
      <c r="I120" s="50"/>
      <c r="J120" s="50"/>
      <c r="K120" s="44"/>
      <c r="L120" s="44"/>
      <c r="M120" s="99"/>
      <c r="N120" s="37"/>
      <c r="O120" s="24"/>
      <c r="P120" s="17"/>
      <c r="Q120" s="17"/>
      <c r="R120" s="17"/>
      <c r="S120" s="210"/>
    </row>
    <row r="121" spans="2:19" ht="25.5" hidden="1" customHeight="1">
      <c r="D121" s="77"/>
      <c r="F121" s="173"/>
      <c r="G121" s="382" t="s">
        <v>300</v>
      </c>
      <c r="H121" s="382"/>
      <c r="I121" s="382" t="s">
        <v>145</v>
      </c>
      <c r="J121" s="382"/>
      <c r="K121" s="78"/>
      <c r="L121" s="78"/>
      <c r="M121" s="199"/>
      <c r="N121" s="78"/>
      <c r="O121" s="79"/>
      <c r="P121" s="78"/>
      <c r="Q121" s="80" t="s">
        <v>171</v>
      </c>
      <c r="R121" s="41"/>
      <c r="S121" s="219"/>
    </row>
    <row r="122" spans="2:19" ht="25.5" hidden="1" customHeight="1">
      <c r="D122" s="81"/>
      <c r="F122" s="174"/>
      <c r="G122" s="96"/>
      <c r="H122" s="82"/>
      <c r="I122" s="83"/>
      <c r="J122" s="143" t="s">
        <v>146</v>
      </c>
      <c r="K122" s="144"/>
      <c r="L122" s="144"/>
      <c r="M122" s="200"/>
      <c r="N122" s="144"/>
      <c r="O122" s="135"/>
      <c r="P122" s="144"/>
      <c r="Q122" s="84" t="s">
        <v>292</v>
      </c>
      <c r="R122" s="56"/>
      <c r="S122" s="175"/>
    </row>
    <row r="123" spans="2:19" ht="25.5" hidden="1" customHeight="1" thickBot="1">
      <c r="D123" s="85"/>
      <c r="F123" s="85"/>
      <c r="G123" s="145"/>
      <c r="H123" s="136"/>
      <c r="I123" s="146"/>
      <c r="J123" s="146"/>
      <c r="K123" s="136"/>
      <c r="L123" s="136"/>
      <c r="M123" s="202" t="s">
        <v>183</v>
      </c>
      <c r="N123" s="136"/>
      <c r="O123" s="136"/>
      <c r="P123" s="136"/>
      <c r="Q123" s="86" t="s">
        <v>207</v>
      </c>
      <c r="R123" s="42"/>
      <c r="S123" s="205"/>
    </row>
    <row r="124" spans="2:19" ht="30" hidden="1" customHeight="1">
      <c r="D124" s="385" t="s">
        <v>144</v>
      </c>
      <c r="F124" s="385" t="s">
        <v>144</v>
      </c>
      <c r="G124" s="406" t="s">
        <v>63</v>
      </c>
      <c r="H124" s="406"/>
      <c r="I124" s="409" t="s">
        <v>170</v>
      </c>
      <c r="J124" s="409"/>
      <c r="K124" s="401" t="s">
        <v>2</v>
      </c>
      <c r="L124" s="401"/>
      <c r="M124" s="401" t="s">
        <v>169</v>
      </c>
      <c r="N124" s="401"/>
      <c r="O124" s="426" t="s">
        <v>139</v>
      </c>
      <c r="P124" s="401" t="s">
        <v>1</v>
      </c>
      <c r="Q124" s="401" t="s">
        <v>138</v>
      </c>
      <c r="R124" s="62"/>
      <c r="S124" s="424" t="s">
        <v>0</v>
      </c>
    </row>
    <row r="125" spans="2:19" ht="30" hidden="1" customHeight="1">
      <c r="D125" s="386"/>
      <c r="F125" s="386"/>
      <c r="G125" s="97" t="s">
        <v>143</v>
      </c>
      <c r="H125" s="49" t="s">
        <v>142</v>
      </c>
      <c r="I125" s="49" t="s">
        <v>143</v>
      </c>
      <c r="J125" s="49" t="s">
        <v>142</v>
      </c>
      <c r="K125" s="1" t="s">
        <v>4</v>
      </c>
      <c r="L125" s="1" t="s">
        <v>3</v>
      </c>
      <c r="M125" s="100" t="s">
        <v>141</v>
      </c>
      <c r="N125" s="1" t="s">
        <v>140</v>
      </c>
      <c r="O125" s="427"/>
      <c r="P125" s="422"/>
      <c r="Q125" s="422"/>
      <c r="R125" s="2"/>
      <c r="S125" s="425"/>
    </row>
    <row r="126" spans="2:19" ht="35.25" hidden="1" customHeight="1">
      <c r="D126" s="5"/>
      <c r="F126" s="5"/>
      <c r="G126" s="100"/>
      <c r="H126" s="1"/>
      <c r="I126" s="40">
        <f>J126*O126</f>
        <v>-103292000</v>
      </c>
      <c r="J126" s="49">
        <f>H126-N126</f>
        <v>-136</v>
      </c>
      <c r="K126" s="6"/>
      <c r="L126" s="6"/>
      <c r="M126" s="191">
        <f>N126*O126</f>
        <v>103292000</v>
      </c>
      <c r="N126" s="4">
        <v>136</v>
      </c>
      <c r="O126" s="22">
        <v>759500</v>
      </c>
      <c r="P126" s="6" t="s">
        <v>35</v>
      </c>
      <c r="Q126" s="46" t="s">
        <v>110</v>
      </c>
      <c r="R126" s="46" t="s">
        <v>158</v>
      </c>
      <c r="S126" s="207">
        <v>130804</v>
      </c>
    </row>
    <row r="127" spans="2:19" ht="35.25" hidden="1" customHeight="1">
      <c r="D127" s="5"/>
      <c r="F127" s="5"/>
      <c r="G127" s="100"/>
      <c r="H127" s="1"/>
      <c r="I127" s="40">
        <f>J127*O127</f>
        <v>-217550000</v>
      </c>
      <c r="J127" s="49">
        <f>H127-N127</f>
        <v>-380</v>
      </c>
      <c r="K127" s="6"/>
      <c r="L127" s="6"/>
      <c r="M127" s="191">
        <f>N127*O127</f>
        <v>217550000</v>
      </c>
      <c r="N127" s="4">
        <v>380</v>
      </c>
      <c r="O127" s="22">
        <v>572500</v>
      </c>
      <c r="P127" s="6" t="s">
        <v>35</v>
      </c>
      <c r="Q127" s="45" t="s">
        <v>237</v>
      </c>
      <c r="R127" s="46" t="s">
        <v>158</v>
      </c>
      <c r="S127" s="34" t="s">
        <v>236</v>
      </c>
    </row>
    <row r="128" spans="2:19" ht="35.25" hidden="1" customHeight="1">
      <c r="D128" s="5"/>
      <c r="F128" s="5"/>
      <c r="G128" s="100">
        <f>H128*O128</f>
        <v>7986000</v>
      </c>
      <c r="H128" s="1">
        <v>44</v>
      </c>
      <c r="I128" s="40">
        <f>J128*O128</f>
        <v>7986000</v>
      </c>
      <c r="J128" s="49">
        <f>H128-N128</f>
        <v>44</v>
      </c>
      <c r="K128" s="6"/>
      <c r="L128" s="6"/>
      <c r="M128" s="191">
        <f>N128*O128</f>
        <v>0</v>
      </c>
      <c r="N128" s="4"/>
      <c r="O128" s="22">
        <v>181500</v>
      </c>
      <c r="P128" s="6" t="s">
        <v>155</v>
      </c>
      <c r="Q128" s="46" t="s">
        <v>208</v>
      </c>
      <c r="R128" s="46" t="s">
        <v>158</v>
      </c>
      <c r="S128" s="207">
        <v>131109</v>
      </c>
    </row>
    <row r="129" spans="2:19" ht="27" hidden="1" customHeight="1" thickBot="1">
      <c r="D129" s="21"/>
      <c r="F129" s="21"/>
      <c r="G129" s="397">
        <f>SUM(G126:G128)</f>
        <v>7986000</v>
      </c>
      <c r="H129" s="398"/>
      <c r="I129" s="402">
        <f>SUM(I126:I128)</f>
        <v>-312856000</v>
      </c>
      <c r="J129" s="402"/>
      <c r="K129" s="400">
        <f>SUM(K126:K126)</f>
        <v>0</v>
      </c>
      <c r="L129" s="400"/>
      <c r="M129" s="400">
        <f>SUM(M126:M128)</f>
        <v>320842000</v>
      </c>
      <c r="N129" s="400"/>
      <c r="O129" s="39"/>
      <c r="P129" s="115"/>
      <c r="Q129" s="115" t="s">
        <v>111</v>
      </c>
      <c r="R129" s="15"/>
      <c r="S129" s="209"/>
    </row>
    <row r="130" spans="2:19" ht="25.5" hidden="1" customHeight="1" thickBot="1">
      <c r="D130" s="85"/>
      <c r="F130" s="85"/>
      <c r="G130" s="145"/>
      <c r="H130" s="136"/>
      <c r="I130" s="146"/>
      <c r="J130" s="146"/>
      <c r="K130" s="136"/>
      <c r="L130" s="136"/>
      <c r="M130" s="202" t="s">
        <v>183</v>
      </c>
      <c r="N130" s="136"/>
      <c r="O130" s="136"/>
      <c r="P130" s="136"/>
      <c r="Q130" s="86" t="s">
        <v>209</v>
      </c>
      <c r="R130" s="42"/>
      <c r="S130" s="205"/>
    </row>
    <row r="131" spans="2:19" ht="43.5" hidden="1" customHeight="1">
      <c r="D131" s="20">
        <v>7280</v>
      </c>
      <c r="F131" s="20"/>
      <c r="G131" s="100">
        <f t="shared" ref="G131:G141" si="20">H131*O131</f>
        <v>531440000</v>
      </c>
      <c r="H131" s="1">
        <v>7280</v>
      </c>
      <c r="I131" s="40">
        <f>J131*O131</f>
        <v>-577941000</v>
      </c>
      <c r="J131" s="49">
        <f>H131-N131</f>
        <v>-7917</v>
      </c>
      <c r="K131" s="6"/>
      <c r="L131" s="6"/>
      <c r="M131" s="113">
        <f t="shared" ref="M131:M141" si="21">N131*O131</f>
        <v>1109381000</v>
      </c>
      <c r="N131" s="4">
        <v>15197</v>
      </c>
      <c r="O131" s="22">
        <v>73000</v>
      </c>
      <c r="P131" s="6" t="s">
        <v>35</v>
      </c>
      <c r="Q131" s="45" t="s">
        <v>239</v>
      </c>
      <c r="R131" s="65" t="s">
        <v>158</v>
      </c>
      <c r="S131" s="34" t="s">
        <v>238</v>
      </c>
    </row>
    <row r="132" spans="2:19" ht="43.5" hidden="1" customHeight="1">
      <c r="D132" s="20"/>
      <c r="F132" s="20"/>
      <c r="G132" s="100">
        <f t="shared" si="20"/>
        <v>0</v>
      </c>
      <c r="H132" s="1"/>
      <c r="I132" s="40">
        <f t="shared" ref="I132:I141" si="22">J132*O132</f>
        <v>0</v>
      </c>
      <c r="J132" s="49">
        <f t="shared" ref="J132:J141" si="23">H132-N132</f>
        <v>0</v>
      </c>
      <c r="K132" s="6"/>
      <c r="L132" s="6"/>
      <c r="M132" s="100">
        <f t="shared" si="21"/>
        <v>0</v>
      </c>
      <c r="N132" s="4"/>
      <c r="O132" s="22">
        <v>6170</v>
      </c>
      <c r="P132" s="6" t="s">
        <v>35</v>
      </c>
      <c r="Q132" s="45" t="s">
        <v>166</v>
      </c>
      <c r="R132" s="65" t="s">
        <v>158</v>
      </c>
      <c r="S132" s="207">
        <v>140701</v>
      </c>
    </row>
    <row r="133" spans="2:19" ht="43.5" hidden="1" customHeight="1">
      <c r="D133" s="20"/>
      <c r="F133" s="20"/>
      <c r="G133" s="100">
        <f t="shared" si="20"/>
        <v>1064000</v>
      </c>
      <c r="H133" s="1">
        <v>140</v>
      </c>
      <c r="I133" s="40">
        <f t="shared" si="22"/>
        <v>1064000</v>
      </c>
      <c r="J133" s="49">
        <f t="shared" si="23"/>
        <v>140</v>
      </c>
      <c r="K133" s="6"/>
      <c r="L133" s="6"/>
      <c r="M133" s="100">
        <f t="shared" si="21"/>
        <v>0</v>
      </c>
      <c r="N133" s="4"/>
      <c r="O133" s="22">
        <v>7600</v>
      </c>
      <c r="P133" s="6" t="s">
        <v>35</v>
      </c>
      <c r="Q133" s="45" t="s">
        <v>136</v>
      </c>
      <c r="R133" s="65" t="s">
        <v>158</v>
      </c>
      <c r="S133" s="207">
        <v>140704</v>
      </c>
    </row>
    <row r="134" spans="2:19" ht="43.5" hidden="1" customHeight="1">
      <c r="D134" s="20"/>
      <c r="F134" s="20"/>
      <c r="G134" s="100">
        <f t="shared" si="20"/>
        <v>455000</v>
      </c>
      <c r="H134" s="1">
        <v>140</v>
      </c>
      <c r="I134" s="40">
        <f t="shared" si="22"/>
        <v>455000</v>
      </c>
      <c r="J134" s="49">
        <f t="shared" si="23"/>
        <v>140</v>
      </c>
      <c r="K134" s="6"/>
      <c r="L134" s="6"/>
      <c r="M134" s="100">
        <f t="shared" si="21"/>
        <v>0</v>
      </c>
      <c r="N134" s="4"/>
      <c r="O134" s="22">
        <v>3250</v>
      </c>
      <c r="P134" s="6" t="s">
        <v>35</v>
      </c>
      <c r="Q134" s="45" t="s">
        <v>167</v>
      </c>
      <c r="R134" s="65" t="s">
        <v>158</v>
      </c>
      <c r="S134" s="207">
        <v>140801</v>
      </c>
    </row>
    <row r="135" spans="2:19" ht="43.5" hidden="1" customHeight="1">
      <c r="B135" s="259">
        <v>950</v>
      </c>
      <c r="D135" s="20"/>
      <c r="F135" s="20"/>
      <c r="G135" s="100">
        <f t="shared" si="20"/>
        <v>72485000</v>
      </c>
      <c r="H135" s="1">
        <v>950</v>
      </c>
      <c r="I135" s="40">
        <f t="shared" si="22"/>
        <v>72485000</v>
      </c>
      <c r="J135" s="49">
        <f t="shared" si="23"/>
        <v>950</v>
      </c>
      <c r="K135" s="6"/>
      <c r="L135" s="6"/>
      <c r="M135" s="100">
        <f t="shared" si="21"/>
        <v>0</v>
      </c>
      <c r="N135" s="4"/>
      <c r="O135" s="22">
        <v>76300</v>
      </c>
      <c r="P135" s="6" t="s">
        <v>35</v>
      </c>
      <c r="Q135" s="45" t="s">
        <v>275</v>
      </c>
      <c r="R135" s="65" t="s">
        <v>158</v>
      </c>
      <c r="S135" s="207" t="s">
        <v>274</v>
      </c>
    </row>
    <row r="136" spans="2:19" ht="43.5" hidden="1" customHeight="1">
      <c r="D136" s="20"/>
      <c r="F136" s="20"/>
      <c r="G136" s="100">
        <f t="shared" si="20"/>
        <v>0</v>
      </c>
      <c r="H136" s="1"/>
      <c r="I136" s="40">
        <f t="shared" si="22"/>
        <v>0</v>
      </c>
      <c r="J136" s="49">
        <f t="shared" si="23"/>
        <v>0</v>
      </c>
      <c r="K136" s="6"/>
      <c r="L136" s="6"/>
      <c r="M136" s="100">
        <f t="shared" si="21"/>
        <v>0</v>
      </c>
      <c r="N136" s="4"/>
      <c r="O136" s="22">
        <v>9670</v>
      </c>
      <c r="P136" s="6" t="s">
        <v>35</v>
      </c>
      <c r="Q136" s="45" t="s">
        <v>137</v>
      </c>
      <c r="R136" s="65" t="s">
        <v>158</v>
      </c>
      <c r="S136" s="207">
        <v>141002</v>
      </c>
    </row>
    <row r="137" spans="2:19" ht="43.5" hidden="1" customHeight="1">
      <c r="D137" s="20">
        <v>400</v>
      </c>
      <c r="F137" s="20"/>
      <c r="G137" s="100">
        <f t="shared" si="20"/>
        <v>13800000</v>
      </c>
      <c r="H137" s="1">
        <v>400</v>
      </c>
      <c r="I137" s="40">
        <f t="shared" si="22"/>
        <v>13800000</v>
      </c>
      <c r="J137" s="49">
        <f t="shared" si="23"/>
        <v>400</v>
      </c>
      <c r="K137" s="6"/>
      <c r="L137" s="6"/>
      <c r="M137" s="100">
        <f t="shared" si="21"/>
        <v>0</v>
      </c>
      <c r="N137" s="4"/>
      <c r="O137" s="22">
        <v>34500</v>
      </c>
      <c r="P137" s="6" t="s">
        <v>35</v>
      </c>
      <c r="Q137" s="45" t="s">
        <v>253</v>
      </c>
      <c r="R137" s="65" t="s">
        <v>158</v>
      </c>
      <c r="S137" s="34" t="s">
        <v>251</v>
      </c>
    </row>
    <row r="138" spans="2:19" ht="43.5" hidden="1" customHeight="1">
      <c r="D138" s="20">
        <v>600</v>
      </c>
      <c r="F138" s="20"/>
      <c r="G138" s="100">
        <f t="shared" si="20"/>
        <v>17160000</v>
      </c>
      <c r="H138" s="1">
        <v>600</v>
      </c>
      <c r="I138" s="40">
        <f t="shared" si="22"/>
        <v>17160000</v>
      </c>
      <c r="J138" s="49">
        <f t="shared" si="23"/>
        <v>600</v>
      </c>
      <c r="K138" s="6"/>
      <c r="L138" s="6"/>
      <c r="M138" s="100">
        <f t="shared" si="21"/>
        <v>0</v>
      </c>
      <c r="N138" s="4"/>
      <c r="O138" s="22">
        <v>28600</v>
      </c>
      <c r="P138" s="6" t="s">
        <v>35</v>
      </c>
      <c r="Q138" s="45" t="s">
        <v>254</v>
      </c>
      <c r="R138" s="65" t="s">
        <v>158</v>
      </c>
      <c r="S138" s="34" t="s">
        <v>252</v>
      </c>
    </row>
    <row r="139" spans="2:19" ht="32.25" hidden="1" customHeight="1">
      <c r="B139" s="259" t="s">
        <v>276</v>
      </c>
      <c r="D139" s="20">
        <v>92520</v>
      </c>
      <c r="F139" s="20"/>
      <c r="G139" s="100">
        <f t="shared" si="20"/>
        <v>99048600</v>
      </c>
      <c r="H139" s="1">
        <f>92520+9*950</f>
        <v>101070</v>
      </c>
      <c r="I139" s="40">
        <f t="shared" si="22"/>
        <v>-34988940</v>
      </c>
      <c r="J139" s="49">
        <f t="shared" si="23"/>
        <v>-35703</v>
      </c>
      <c r="K139" s="6"/>
      <c r="L139" s="6"/>
      <c r="M139" s="100">
        <f t="shared" si="21"/>
        <v>134037540</v>
      </c>
      <c r="N139" s="4">
        <v>136773</v>
      </c>
      <c r="O139" s="104">
        <v>980</v>
      </c>
      <c r="P139" s="4" t="s">
        <v>44</v>
      </c>
      <c r="Q139" s="45" t="s">
        <v>68</v>
      </c>
      <c r="R139" s="65" t="s">
        <v>158</v>
      </c>
      <c r="S139" s="207">
        <v>141901</v>
      </c>
    </row>
    <row r="140" spans="2:19" ht="32.25" hidden="1" customHeight="1">
      <c r="B140" s="259" t="s">
        <v>277</v>
      </c>
      <c r="D140" s="20">
        <v>205600</v>
      </c>
      <c r="F140" s="20"/>
      <c r="G140" s="100">
        <f t="shared" si="20"/>
        <v>201017000</v>
      </c>
      <c r="H140" s="1">
        <f>205600+20*950</f>
        <v>224600</v>
      </c>
      <c r="I140" s="40">
        <f t="shared" si="22"/>
        <v>-71009300</v>
      </c>
      <c r="J140" s="49">
        <f t="shared" si="23"/>
        <v>-79340</v>
      </c>
      <c r="K140" s="6"/>
      <c r="L140" s="6"/>
      <c r="M140" s="100">
        <f t="shared" si="21"/>
        <v>272026300</v>
      </c>
      <c r="N140" s="4">
        <v>303940</v>
      </c>
      <c r="O140" s="22">
        <v>895</v>
      </c>
      <c r="P140" s="4" t="s">
        <v>44</v>
      </c>
      <c r="Q140" s="45" t="s">
        <v>242</v>
      </c>
      <c r="R140" s="65" t="s">
        <v>158</v>
      </c>
      <c r="S140" s="207">
        <v>141902</v>
      </c>
    </row>
    <row r="141" spans="2:19" ht="32.25" hidden="1" customHeight="1">
      <c r="B141" s="259" t="s">
        <v>278</v>
      </c>
      <c r="D141" s="57">
        <v>102800</v>
      </c>
      <c r="F141" s="57"/>
      <c r="G141" s="100">
        <f t="shared" si="20"/>
        <v>80294500</v>
      </c>
      <c r="H141" s="224">
        <f>102800+10*950</f>
        <v>112300</v>
      </c>
      <c r="I141" s="40">
        <f t="shared" si="22"/>
        <v>-28364050</v>
      </c>
      <c r="J141" s="49">
        <f t="shared" si="23"/>
        <v>-39670</v>
      </c>
      <c r="K141" s="7"/>
      <c r="L141" s="7"/>
      <c r="M141" s="100">
        <f t="shared" si="21"/>
        <v>108658550</v>
      </c>
      <c r="N141" s="59">
        <v>151970</v>
      </c>
      <c r="O141" s="60">
        <v>715</v>
      </c>
      <c r="P141" s="4" t="s">
        <v>44</v>
      </c>
      <c r="Q141" s="247" t="s">
        <v>241</v>
      </c>
      <c r="R141" s="65" t="s">
        <v>158</v>
      </c>
      <c r="S141" s="248" t="s">
        <v>240</v>
      </c>
    </row>
    <row r="142" spans="2:19" ht="29.25" hidden="1" customHeight="1" thickBot="1">
      <c r="D142" s="21"/>
      <c r="F142" s="21"/>
      <c r="G142" s="397">
        <f>SUM(G131:G141)</f>
        <v>1016764100</v>
      </c>
      <c r="H142" s="398"/>
      <c r="I142" s="432">
        <f>SUM(I131:I141)</f>
        <v>-607339290</v>
      </c>
      <c r="J142" s="432"/>
      <c r="K142" s="433">
        <f>SUM(K131:K140)</f>
        <v>0</v>
      </c>
      <c r="L142" s="433"/>
      <c r="M142" s="400">
        <f>SUM(M131:M141)</f>
        <v>1624103390</v>
      </c>
      <c r="N142" s="400"/>
      <c r="O142" s="400"/>
      <c r="P142" s="400"/>
      <c r="Q142" s="170" t="s">
        <v>13</v>
      </c>
      <c r="R142" s="68"/>
      <c r="S142" s="217"/>
    </row>
    <row r="143" spans="2:19" ht="49.5" hidden="1" customHeight="1">
      <c r="D143" s="13"/>
      <c r="F143" s="13"/>
      <c r="G143" s="99"/>
      <c r="H143" s="11"/>
      <c r="I143" s="54"/>
      <c r="J143" s="54"/>
      <c r="K143" s="87"/>
      <c r="L143" s="87"/>
      <c r="M143" s="99"/>
      <c r="N143" s="37"/>
      <c r="O143" s="37"/>
      <c r="P143" s="37"/>
      <c r="Q143" s="88"/>
      <c r="R143" s="88"/>
      <c r="S143" s="218"/>
    </row>
    <row r="144" spans="2:19" ht="49.5" hidden="1" customHeight="1" thickBot="1">
      <c r="D144" s="13"/>
      <c r="F144" s="13"/>
      <c r="G144" s="99"/>
      <c r="H144" s="11"/>
      <c r="I144" s="54"/>
      <c r="J144" s="54"/>
      <c r="K144" s="87"/>
      <c r="L144" s="87"/>
      <c r="M144" s="99"/>
      <c r="N144" s="37"/>
      <c r="O144" s="37"/>
      <c r="P144" s="37"/>
      <c r="Q144" s="88"/>
      <c r="R144" s="88"/>
      <c r="S144" s="218"/>
    </row>
    <row r="145" spans="2:19" ht="25.5" hidden="1" customHeight="1">
      <c r="D145" s="77"/>
      <c r="F145" s="173"/>
      <c r="G145" s="382" t="s">
        <v>300</v>
      </c>
      <c r="H145" s="382"/>
      <c r="I145" s="382" t="s">
        <v>145</v>
      </c>
      <c r="J145" s="382"/>
      <c r="K145" s="78"/>
      <c r="L145" s="78"/>
      <c r="M145" s="199"/>
      <c r="N145" s="78"/>
      <c r="O145" s="79"/>
      <c r="P145" s="78"/>
      <c r="Q145" s="80" t="s">
        <v>171</v>
      </c>
      <c r="R145" s="41"/>
      <c r="S145" s="219"/>
    </row>
    <row r="146" spans="2:19" ht="25.5" hidden="1" customHeight="1">
      <c r="D146" s="81"/>
      <c r="F146" s="174"/>
      <c r="G146" s="96"/>
      <c r="H146" s="82"/>
      <c r="I146" s="83"/>
      <c r="J146" s="143" t="s">
        <v>146</v>
      </c>
      <c r="K146" s="144"/>
      <c r="L146" s="144"/>
      <c r="M146" s="200"/>
      <c r="N146" s="144"/>
      <c r="O146" s="135"/>
      <c r="P146" s="144"/>
      <c r="Q146" s="84" t="s">
        <v>292</v>
      </c>
      <c r="R146" s="56"/>
      <c r="S146" s="175"/>
    </row>
    <row r="147" spans="2:19" ht="25.5" hidden="1" customHeight="1" thickBot="1">
      <c r="D147" s="85"/>
      <c r="F147" s="85"/>
      <c r="G147" s="145"/>
      <c r="H147" s="136"/>
      <c r="I147" s="146"/>
      <c r="J147" s="146"/>
      <c r="K147" s="136"/>
      <c r="L147" s="136"/>
      <c r="M147" s="202" t="s">
        <v>183</v>
      </c>
      <c r="N147" s="136"/>
      <c r="O147" s="136"/>
      <c r="P147" s="136"/>
      <c r="Q147" s="86" t="s">
        <v>210</v>
      </c>
      <c r="R147" s="42"/>
      <c r="S147" s="205"/>
    </row>
    <row r="148" spans="2:19" ht="34.5" hidden="1" customHeight="1">
      <c r="C148" s="3" t="s">
        <v>291</v>
      </c>
      <c r="D148" s="20"/>
      <c r="F148" s="20"/>
      <c r="G148" s="100">
        <f>H148*O148</f>
        <v>6300000</v>
      </c>
      <c r="H148" s="1">
        <v>700</v>
      </c>
      <c r="I148" s="40">
        <f>J148*O148</f>
        <v>6300000</v>
      </c>
      <c r="J148" s="49">
        <f>H148-N148</f>
        <v>700</v>
      </c>
      <c r="K148" s="4"/>
      <c r="L148" s="4"/>
      <c r="M148" s="191"/>
      <c r="N148" s="4"/>
      <c r="O148" s="22">
        <v>9000</v>
      </c>
      <c r="P148" s="4" t="s">
        <v>36</v>
      </c>
      <c r="Q148" s="4" t="s">
        <v>98</v>
      </c>
      <c r="R148" s="64" t="s">
        <v>158</v>
      </c>
      <c r="S148" s="32" t="s">
        <v>97</v>
      </c>
    </row>
    <row r="149" spans="2:19" ht="34.5" hidden="1" customHeight="1">
      <c r="D149" s="20"/>
      <c r="F149" s="20"/>
      <c r="G149" s="100"/>
      <c r="H149" s="1"/>
      <c r="I149" s="40">
        <f>J149*O149</f>
        <v>0</v>
      </c>
      <c r="J149" s="49">
        <f>H149-N149</f>
        <v>0</v>
      </c>
      <c r="K149" s="4"/>
      <c r="L149" s="4"/>
      <c r="M149" s="191"/>
      <c r="N149" s="4"/>
      <c r="O149" s="22">
        <v>43200</v>
      </c>
      <c r="P149" s="4" t="s">
        <v>36</v>
      </c>
      <c r="Q149" s="4" t="s">
        <v>106</v>
      </c>
      <c r="R149" s="64" t="s">
        <v>158</v>
      </c>
      <c r="S149" s="32" t="s">
        <v>105</v>
      </c>
    </row>
    <row r="150" spans="2:19" s="171" customFormat="1" ht="34.5" hidden="1" customHeight="1" thickBot="1">
      <c r="B150" s="260"/>
      <c r="C150" s="263"/>
      <c r="D150" s="131"/>
      <c r="F150" s="131"/>
      <c r="G150" s="397">
        <f>SUM(G148:G149)</f>
        <v>6300000</v>
      </c>
      <c r="H150" s="398"/>
      <c r="I150" s="399">
        <f>SUM(I148:I149)</f>
        <v>6300000</v>
      </c>
      <c r="J150" s="399"/>
      <c r="K150" s="411">
        <f>SUM(K148:K149)</f>
        <v>0</v>
      </c>
      <c r="L150" s="411"/>
      <c r="M150" s="411">
        <f>SUM(M148:M149)</f>
        <v>0</v>
      </c>
      <c r="N150" s="411"/>
      <c r="O150" s="133"/>
      <c r="P150" s="132"/>
      <c r="Q150" s="134" t="s">
        <v>60</v>
      </c>
      <c r="R150" s="172"/>
      <c r="S150" s="217"/>
    </row>
    <row r="151" spans="2:19" ht="32.25" hidden="1" customHeight="1">
      <c r="D151" s="177"/>
      <c r="F151" s="177"/>
      <c r="G151" s="103"/>
      <c r="H151" s="75"/>
      <c r="I151" s="40">
        <f>J151*O151</f>
        <v>0</v>
      </c>
      <c r="J151" s="49">
        <f>H151-N151</f>
        <v>0</v>
      </c>
      <c r="K151" s="75"/>
      <c r="L151" s="75"/>
      <c r="M151" s="191"/>
      <c r="N151" s="75"/>
      <c r="O151" s="90">
        <v>40700</v>
      </c>
      <c r="P151" s="4" t="s">
        <v>125</v>
      </c>
      <c r="Q151" s="71" t="s">
        <v>168</v>
      </c>
      <c r="R151" s="72" t="s">
        <v>158</v>
      </c>
      <c r="S151" s="214">
        <v>190103</v>
      </c>
    </row>
    <row r="152" spans="2:19" ht="32.25" hidden="1" customHeight="1">
      <c r="D152" s="177">
        <v>4369.33</v>
      </c>
      <c r="F152" s="177"/>
      <c r="G152" s="103">
        <f>H152*O152</f>
        <v>27087800</v>
      </c>
      <c r="H152" s="75">
        <v>4369</v>
      </c>
      <c r="I152" s="40">
        <f>J152*O152</f>
        <v>27087800</v>
      </c>
      <c r="J152" s="49">
        <f>H152-N152</f>
        <v>4369</v>
      </c>
      <c r="K152" s="75"/>
      <c r="L152" s="75"/>
      <c r="M152" s="191"/>
      <c r="N152" s="75"/>
      <c r="O152" s="90">
        <v>6200</v>
      </c>
      <c r="P152" s="4" t="s">
        <v>125</v>
      </c>
      <c r="Q152" s="71" t="s">
        <v>256</v>
      </c>
      <c r="R152" s="72" t="s">
        <v>158</v>
      </c>
      <c r="S152" s="212" t="s">
        <v>255</v>
      </c>
    </row>
    <row r="153" spans="2:19" ht="32.25" hidden="1" customHeight="1">
      <c r="B153" s="259">
        <v>450</v>
      </c>
      <c r="C153" s="3">
        <v>300</v>
      </c>
      <c r="D153" s="5">
        <v>348.75</v>
      </c>
      <c r="F153" s="5"/>
      <c r="G153" s="103">
        <f>H153*O153</f>
        <v>61048800</v>
      </c>
      <c r="H153" s="1">
        <f>348+300+450</f>
        <v>1098</v>
      </c>
      <c r="I153" s="40">
        <f>J153*O153</f>
        <v>61048800</v>
      </c>
      <c r="J153" s="49">
        <f>H153-N153</f>
        <v>1098</v>
      </c>
      <c r="K153" s="4"/>
      <c r="L153" s="4"/>
      <c r="M153" s="191"/>
      <c r="N153" s="4"/>
      <c r="O153" s="22">
        <v>55600</v>
      </c>
      <c r="P153" s="4" t="s">
        <v>108</v>
      </c>
      <c r="Q153" s="46" t="s">
        <v>150</v>
      </c>
      <c r="R153" s="72" t="s">
        <v>158</v>
      </c>
      <c r="S153" s="32" t="s">
        <v>149</v>
      </c>
    </row>
    <row r="154" spans="2:19" ht="32.25" hidden="1" customHeight="1">
      <c r="D154" s="57"/>
      <c r="F154" s="57"/>
      <c r="G154" s="103">
        <f>H154*O154</f>
        <v>10680000</v>
      </c>
      <c r="H154" s="1">
        <v>120</v>
      </c>
      <c r="I154" s="40">
        <f>J154*O154</f>
        <v>-7120000</v>
      </c>
      <c r="J154" s="49">
        <f>H154-N154</f>
        <v>-80</v>
      </c>
      <c r="K154" s="59"/>
      <c r="L154" s="59"/>
      <c r="M154" s="191">
        <f>N154*O154</f>
        <v>17800000</v>
      </c>
      <c r="N154" s="59">
        <v>200</v>
      </c>
      <c r="O154" s="60">
        <v>89000</v>
      </c>
      <c r="P154" s="59" t="s">
        <v>64</v>
      </c>
      <c r="Q154" s="247" t="s">
        <v>244</v>
      </c>
      <c r="R154" s="72" t="s">
        <v>159</v>
      </c>
      <c r="S154" s="76" t="s">
        <v>243</v>
      </c>
    </row>
    <row r="155" spans="2:19" s="178" customFormat="1" ht="32.25" hidden="1" customHeight="1" thickBot="1">
      <c r="B155" s="261"/>
      <c r="C155" s="264"/>
      <c r="D155" s="179"/>
      <c r="F155" s="179"/>
      <c r="G155" s="407">
        <f>SUM(G151:G154)</f>
        <v>98816600</v>
      </c>
      <c r="H155" s="408"/>
      <c r="I155" s="403">
        <f>SUM(I151:I154)</f>
        <v>81016600</v>
      </c>
      <c r="J155" s="403"/>
      <c r="K155" s="434" t="e">
        <f>SUM(#REF!)</f>
        <v>#REF!</v>
      </c>
      <c r="L155" s="434"/>
      <c r="M155" s="434">
        <f>SUM(M151:M154)</f>
        <v>17800000</v>
      </c>
      <c r="N155" s="434"/>
      <c r="O155" s="182"/>
      <c r="P155" s="181"/>
      <c r="Q155" s="183" t="s">
        <v>107</v>
      </c>
      <c r="R155" s="184"/>
      <c r="S155" s="221"/>
    </row>
    <row r="156" spans="2:19" ht="25.5" hidden="1" customHeight="1" thickBot="1">
      <c r="D156" s="85"/>
      <c r="F156" s="85"/>
      <c r="G156" s="145"/>
      <c r="H156" s="136"/>
      <c r="I156" s="146"/>
      <c r="J156" s="146"/>
      <c r="K156" s="136"/>
      <c r="L156" s="136"/>
      <c r="M156" s="202" t="s">
        <v>183</v>
      </c>
      <c r="N156" s="136"/>
      <c r="O156" s="136"/>
      <c r="P156" s="136"/>
      <c r="Q156" s="86" t="s">
        <v>211</v>
      </c>
      <c r="R156" s="42"/>
      <c r="S156" s="205"/>
    </row>
    <row r="157" spans="2:19" ht="33" hidden="1" customHeight="1">
      <c r="B157" s="265">
        <f>(C104+B104)*0.25*45</f>
        <v>34233.75</v>
      </c>
      <c r="D157" s="20">
        <v>32089.8</v>
      </c>
      <c r="F157" s="20"/>
      <c r="G157" s="100">
        <f>H157*O157</f>
        <v>24207530</v>
      </c>
      <c r="H157" s="1">
        <f>32089+34233</f>
        <v>66322</v>
      </c>
      <c r="I157" s="40">
        <f>J157*O157</f>
        <v>11620870</v>
      </c>
      <c r="J157" s="49">
        <f>H157-N157</f>
        <v>31838</v>
      </c>
      <c r="K157" s="4"/>
      <c r="L157" s="4"/>
      <c r="M157" s="191">
        <f>N157*O157</f>
        <v>12586660</v>
      </c>
      <c r="N157" s="4">
        <v>34484</v>
      </c>
      <c r="O157" s="22">
        <v>365</v>
      </c>
      <c r="P157" s="4" t="s">
        <v>59</v>
      </c>
      <c r="Q157" s="4" t="s">
        <v>56</v>
      </c>
      <c r="R157" s="64" t="s">
        <v>158</v>
      </c>
      <c r="S157" s="207" t="s">
        <v>53</v>
      </c>
    </row>
    <row r="158" spans="2:19" ht="33" hidden="1" customHeight="1">
      <c r="B158" s="265">
        <f>(C104+B104)*0.25*75</f>
        <v>57056.25</v>
      </c>
      <c r="D158" s="20">
        <v>27643.439999999999</v>
      </c>
      <c r="F158" s="20"/>
      <c r="G158" s="100">
        <f>H158*O158</f>
        <v>20751255</v>
      </c>
      <c r="H158" s="1">
        <f>27643+57056</f>
        <v>84699</v>
      </c>
      <c r="I158" s="40">
        <f>J158*O158</f>
        <v>13560995</v>
      </c>
      <c r="J158" s="49">
        <f>H158-N158</f>
        <v>55351</v>
      </c>
      <c r="K158" s="4"/>
      <c r="L158" s="4"/>
      <c r="M158" s="191">
        <f>N158*O158</f>
        <v>7190260</v>
      </c>
      <c r="N158" s="4">
        <v>29348</v>
      </c>
      <c r="O158" s="22">
        <v>245</v>
      </c>
      <c r="P158" s="4" t="s">
        <v>59</v>
      </c>
      <c r="Q158" s="4" t="s">
        <v>57</v>
      </c>
      <c r="R158" s="64" t="s">
        <v>158</v>
      </c>
      <c r="S158" s="207" t="s">
        <v>54</v>
      </c>
    </row>
    <row r="159" spans="2:19" ht="33" hidden="1" customHeight="1">
      <c r="B159" s="265">
        <f>(C104+B104)*0.25*150</f>
        <v>114112.5</v>
      </c>
      <c r="D159" s="20">
        <v>10067.700000000001</v>
      </c>
      <c r="F159" s="20"/>
      <c r="G159" s="100">
        <f>H159*O159</f>
        <v>1560385</v>
      </c>
      <c r="H159" s="1">
        <v>10067</v>
      </c>
      <c r="I159" s="40">
        <f>J159*O159</f>
        <v>91295</v>
      </c>
      <c r="J159" s="49">
        <f>H159-N159</f>
        <v>589</v>
      </c>
      <c r="K159" s="4"/>
      <c r="L159" s="4"/>
      <c r="M159" s="191">
        <f>N159*O159</f>
        <v>1469090</v>
      </c>
      <c r="N159" s="4">
        <v>9478</v>
      </c>
      <c r="O159" s="22">
        <v>155</v>
      </c>
      <c r="P159" s="4" t="s">
        <v>59</v>
      </c>
      <c r="Q159" s="4" t="s">
        <v>58</v>
      </c>
      <c r="R159" s="64" t="s">
        <v>158</v>
      </c>
      <c r="S159" s="207" t="s">
        <v>55</v>
      </c>
    </row>
    <row r="160" spans="2:19" ht="33" hidden="1" customHeight="1">
      <c r="B160" s="265"/>
      <c r="D160" s="20">
        <v>10067.700000000001</v>
      </c>
      <c r="F160" s="20"/>
      <c r="G160" s="100">
        <f>H160*O160</f>
        <v>1258375</v>
      </c>
      <c r="H160" s="1">
        <v>10067</v>
      </c>
      <c r="I160" s="40">
        <f>J160*O160</f>
        <v>73625</v>
      </c>
      <c r="J160" s="49">
        <f>H160-N160</f>
        <v>589</v>
      </c>
      <c r="K160" s="4"/>
      <c r="L160" s="4"/>
      <c r="M160" s="191">
        <f>N160*O160</f>
        <v>1184750</v>
      </c>
      <c r="N160" s="4">
        <v>9478</v>
      </c>
      <c r="O160" s="22">
        <v>125</v>
      </c>
      <c r="P160" s="4" t="s">
        <v>59</v>
      </c>
      <c r="Q160" s="4" t="s">
        <v>113</v>
      </c>
      <c r="R160" s="64" t="s">
        <v>158</v>
      </c>
      <c r="S160" s="207" t="s">
        <v>112</v>
      </c>
    </row>
    <row r="161" spans="2:28" ht="33" hidden="1" customHeight="1">
      <c r="B161" s="265"/>
      <c r="D161" s="20">
        <v>3355.9</v>
      </c>
      <c r="F161" s="20"/>
      <c r="G161" s="100">
        <f>H161*O161</f>
        <v>369050</v>
      </c>
      <c r="H161" s="1">
        <v>3355</v>
      </c>
      <c r="I161" s="40">
        <f>J161*O161</f>
        <v>21560</v>
      </c>
      <c r="J161" s="49">
        <f>H161-N161</f>
        <v>196</v>
      </c>
      <c r="K161" s="4"/>
      <c r="L161" s="4"/>
      <c r="M161" s="191">
        <f>N161*O161</f>
        <v>347490</v>
      </c>
      <c r="N161" s="4">
        <v>3159</v>
      </c>
      <c r="O161" s="22">
        <v>110</v>
      </c>
      <c r="P161" s="4" t="s">
        <v>59</v>
      </c>
      <c r="Q161" s="4" t="s">
        <v>127</v>
      </c>
      <c r="R161" s="64" t="s">
        <v>158</v>
      </c>
      <c r="S161" s="207" t="s">
        <v>126</v>
      </c>
    </row>
    <row r="162" spans="2:28" s="178" customFormat="1" ht="33" hidden="1" customHeight="1" thickBot="1">
      <c r="B162" s="261"/>
      <c r="C162" s="264"/>
      <c r="D162" s="179"/>
      <c r="F162" s="179"/>
      <c r="G162" s="407">
        <f>SUM(G157:G161)</f>
        <v>48146595</v>
      </c>
      <c r="H162" s="408"/>
      <c r="I162" s="403">
        <f>SUM(I157:I161)</f>
        <v>25368345</v>
      </c>
      <c r="J162" s="403"/>
      <c r="K162" s="434">
        <f>SUM(K157:K161)</f>
        <v>0</v>
      </c>
      <c r="L162" s="434"/>
      <c r="M162" s="434">
        <f>SUM(M157:M161)</f>
        <v>22778250</v>
      </c>
      <c r="N162" s="434"/>
      <c r="O162" s="182"/>
      <c r="P162" s="181"/>
      <c r="Q162" s="181" t="s">
        <v>14</v>
      </c>
      <c r="R162" s="180"/>
      <c r="S162" s="221"/>
    </row>
    <row r="163" spans="2:28" ht="49.5" hidden="1" customHeight="1"/>
    <row r="164" spans="2:28" ht="49.5" hidden="1" customHeight="1"/>
    <row r="165" spans="2:28" ht="49.5" hidden="1" customHeight="1"/>
    <row r="166" spans="2:28" ht="49.5" hidden="1" customHeight="1">
      <c r="T166" s="3"/>
      <c r="U166" s="3"/>
      <c r="V166" s="3"/>
      <c r="W166" s="3"/>
      <c r="X166" s="3"/>
      <c r="Y166" s="3"/>
      <c r="Z166" s="14"/>
      <c r="AA166" s="14"/>
      <c r="AB166" s="12"/>
    </row>
    <row r="167" spans="2:28" ht="49.5" hidden="1" customHeight="1">
      <c r="T167" s="3"/>
      <c r="U167" s="3"/>
      <c r="V167" s="3"/>
      <c r="W167" s="3"/>
      <c r="X167" s="3"/>
      <c r="Y167" s="3"/>
      <c r="Z167" s="14"/>
      <c r="AA167" s="14"/>
      <c r="AB167" s="12"/>
    </row>
    <row r="168" spans="2:28" ht="49.5" hidden="1" customHeight="1">
      <c r="T168" s="3"/>
      <c r="U168" s="3"/>
      <c r="V168" s="3"/>
      <c r="W168" s="3"/>
      <c r="X168" s="3"/>
      <c r="Y168" s="3"/>
      <c r="Z168" s="14"/>
      <c r="AA168" s="14"/>
      <c r="AB168" s="12"/>
    </row>
    <row r="169" spans="2:28" ht="49.5" hidden="1" customHeight="1">
      <c r="T169" s="3"/>
      <c r="U169" s="3"/>
      <c r="V169" s="3"/>
      <c r="W169" s="3"/>
      <c r="X169" s="3"/>
      <c r="Y169" s="3"/>
      <c r="Z169" s="14"/>
      <c r="AA169" s="14"/>
      <c r="AB169" s="12"/>
    </row>
    <row r="170" spans="2:28" ht="49.5" hidden="1" customHeight="1">
      <c r="D170" s="25"/>
      <c r="F170" s="25"/>
      <c r="T170" s="3"/>
      <c r="U170" s="3"/>
      <c r="V170" s="3"/>
      <c r="W170" s="3"/>
      <c r="X170" s="3"/>
      <c r="Y170" s="3"/>
      <c r="Z170" s="14"/>
      <c r="AA170" s="14"/>
      <c r="AB170" s="12"/>
    </row>
    <row r="171" spans="2:28" ht="49.5" hidden="1" customHeight="1">
      <c r="T171" s="3"/>
      <c r="U171" s="3"/>
      <c r="V171" s="3"/>
      <c r="W171" s="3"/>
      <c r="X171" s="3"/>
      <c r="Y171" s="3"/>
      <c r="Z171" s="14"/>
      <c r="AA171" s="14"/>
      <c r="AB171" s="12"/>
    </row>
    <row r="172" spans="2:28" ht="49.5" hidden="1" customHeight="1">
      <c r="D172" s="26"/>
      <c r="F172" s="26"/>
      <c r="T172" s="3"/>
      <c r="U172" s="3"/>
      <c r="V172" s="3"/>
      <c r="W172" s="3"/>
      <c r="X172" s="3"/>
      <c r="Y172" s="3"/>
      <c r="Z172" s="14"/>
      <c r="AA172" s="14"/>
      <c r="AB172" s="12"/>
    </row>
    <row r="173" spans="2:28" ht="49.5" hidden="1" customHeight="1">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D176" s="16">
        <v>1.25</v>
      </c>
      <c r="F176" s="16">
        <v>1.25</v>
      </c>
      <c r="I176" s="33" t="s">
        <v>69</v>
      </c>
      <c r="J176" s="33" t="s">
        <v>67</v>
      </c>
      <c r="T176" s="3"/>
      <c r="U176" s="3"/>
      <c r="V176" s="3"/>
      <c r="W176" s="3"/>
      <c r="X176" s="3"/>
      <c r="Y176" s="3"/>
      <c r="Z176" s="14"/>
      <c r="AA176" s="14"/>
      <c r="AB176" s="12"/>
    </row>
    <row r="177" spans="4:28" ht="49.5" hidden="1" customHeight="1">
      <c r="D177" s="16" t="e">
        <f>G162+#REF!+#REF!+G150+#REF!+G142+#REF!+G119+G95+#REF!+G90+G78+#REF!+G34+G11+#REF!</f>
        <v>#REF!</v>
      </c>
      <c r="F177" s="16" t="e">
        <f>I162+#REF!+#REF!+I150+#REF!+I142+#REF!+I119+I95+#REF!+I90+I78+#REF!+I34+I11+#REF!</f>
        <v>#REF!</v>
      </c>
      <c r="I177" s="53" t="e">
        <f>K162+#REF!+#REF!+K150+#REF!+K142+#REF!+K119+K95+#REF!+K90+K78+#REF!+K34+K11+#REF!</f>
        <v>#REF!</v>
      </c>
      <c r="J177" s="33" t="e">
        <f>M162+#REF!+#REF!+M150+#REF!+#REF!+M119+M95+#REF!+M90+M78+M34+#REF!+M11+M142+#REF!</f>
        <v>#REF!</v>
      </c>
      <c r="T177" s="3"/>
      <c r="U177" s="3"/>
      <c r="V177" s="3"/>
      <c r="W177" s="3"/>
      <c r="X177" s="3"/>
      <c r="Y177" s="3"/>
      <c r="Z177" s="14"/>
      <c r="AA177" s="14"/>
      <c r="AB177" s="12"/>
    </row>
    <row r="178" spans="4:28" ht="49.5" customHeight="1">
      <c r="I178" s="363"/>
      <c r="T178" s="3"/>
      <c r="U178" s="3"/>
      <c r="V178" s="3"/>
      <c r="W178" s="3"/>
      <c r="X178" s="3"/>
      <c r="Y178" s="3"/>
      <c r="Z178" s="14"/>
      <c r="AA178" s="14"/>
      <c r="AB178" s="12"/>
    </row>
    <row r="179" spans="4:28" ht="49.5" customHeight="1">
      <c r="T179" s="3"/>
      <c r="U179" s="3"/>
      <c r="V179" s="3"/>
      <c r="W179" s="3"/>
      <c r="X179" s="3"/>
      <c r="Y179" s="3"/>
      <c r="Z179" s="14"/>
      <c r="AA179" s="14"/>
      <c r="AB179" s="12"/>
    </row>
    <row r="180" spans="4:28" ht="49.5" customHeight="1">
      <c r="T180" s="3"/>
      <c r="U180" s="3"/>
      <c r="V180" s="3"/>
      <c r="W180" s="3"/>
      <c r="X180" s="3"/>
      <c r="Y180" s="3"/>
      <c r="Z180" s="14"/>
      <c r="AA180" s="14"/>
      <c r="AB180" s="12"/>
    </row>
    <row r="181" spans="4:28" ht="49.5" customHeight="1">
      <c r="T181" s="3"/>
      <c r="U181" s="3"/>
      <c r="V181" s="3"/>
      <c r="W181" s="3"/>
      <c r="X181" s="3"/>
      <c r="Y181" s="3"/>
      <c r="Z181" s="14"/>
      <c r="AA181" s="14"/>
      <c r="AB181" s="12"/>
    </row>
    <row r="182" spans="4:28" ht="49.5" customHeight="1">
      <c r="T182" s="3"/>
      <c r="U182" s="3"/>
      <c r="V182" s="3"/>
      <c r="W182" s="3"/>
      <c r="X182" s="3"/>
      <c r="Y182" s="3"/>
      <c r="Z182" s="14"/>
      <c r="AA182" s="14"/>
      <c r="AB182" s="12"/>
    </row>
    <row r="183" spans="4:28" ht="49.5" customHeight="1">
      <c r="Z183" s="12"/>
      <c r="AA183" s="12"/>
      <c r="AB183" s="12"/>
    </row>
    <row r="184" spans="4:28" ht="49.5" customHeight="1">
      <c r="Z184" s="12"/>
      <c r="AA184" s="12"/>
      <c r="AB184" s="12"/>
    </row>
    <row r="185" spans="4:28" ht="49.5" customHeight="1">
      <c r="Z185" s="12"/>
      <c r="AA185" s="12"/>
      <c r="AB185" s="12"/>
    </row>
    <row r="186" spans="4:28" ht="49.5" customHeight="1">
      <c r="Z186" s="12"/>
      <c r="AA186" s="12"/>
      <c r="AB186" s="12"/>
    </row>
    <row r="187" spans="4:28" ht="49.5" customHeight="1">
      <c r="Z187" s="12"/>
      <c r="AA187" s="12"/>
      <c r="AB187" s="12"/>
    </row>
    <row r="188" spans="4:28" ht="49.5" customHeight="1">
      <c r="Z188" s="12"/>
      <c r="AA188" s="12"/>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sheetData>
  <mergeCells count="129">
    <mergeCell ref="F100:F101"/>
    <mergeCell ref="Q124:Q125"/>
    <mergeCell ref="G162:H162"/>
    <mergeCell ref="G145:H145"/>
    <mergeCell ref="G150:H150"/>
    <mergeCell ref="M155:N155"/>
    <mergeCell ref="I155:J155"/>
    <mergeCell ref="K155:L155"/>
    <mergeCell ref="K150:L150"/>
    <mergeCell ref="I150:J150"/>
    <mergeCell ref="M124:N124"/>
    <mergeCell ref="M119:N119"/>
    <mergeCell ref="I145:J145"/>
    <mergeCell ref="M150:N150"/>
    <mergeCell ref="M100:N100"/>
    <mergeCell ref="I124:J124"/>
    <mergeCell ref="K124:L124"/>
    <mergeCell ref="P124:P125"/>
    <mergeCell ref="M129:N129"/>
    <mergeCell ref="I129:J129"/>
    <mergeCell ref="M162:N162"/>
    <mergeCell ref="K162:L162"/>
    <mergeCell ref="S124:S125"/>
    <mergeCell ref="O142:P142"/>
    <mergeCell ref="K90:L90"/>
    <mergeCell ref="I90:J90"/>
    <mergeCell ref="M90:N90"/>
    <mergeCell ref="I97:J97"/>
    <mergeCell ref="K95:L95"/>
    <mergeCell ref="K129:L129"/>
    <mergeCell ref="I100:J100"/>
    <mergeCell ref="I121:J121"/>
    <mergeCell ref="I119:J119"/>
    <mergeCell ref="I142:J142"/>
    <mergeCell ref="K142:L142"/>
    <mergeCell ref="M142:N142"/>
    <mergeCell ref="O124:O125"/>
    <mergeCell ref="M95:N95"/>
    <mergeCell ref="S3:S4"/>
    <mergeCell ref="Q16:Q17"/>
    <mergeCell ref="Q3:Q4"/>
    <mergeCell ref="O90:P90"/>
    <mergeCell ref="S100:S101"/>
    <mergeCell ref="P83:P84"/>
    <mergeCell ref="O100:O101"/>
    <mergeCell ref="S16:S17"/>
    <mergeCell ref="O3:O4"/>
    <mergeCell ref="Q83:Q84"/>
    <mergeCell ref="S83:S84"/>
    <mergeCell ref="Q100:Q101"/>
    <mergeCell ref="P16:P17"/>
    <mergeCell ref="O16:O17"/>
    <mergeCell ref="O59:O60"/>
    <mergeCell ref="P59:P60"/>
    <mergeCell ref="Q59:Q60"/>
    <mergeCell ref="P100:P101"/>
    <mergeCell ref="O83:O84"/>
    <mergeCell ref="S59:S60"/>
    <mergeCell ref="K78:L78"/>
    <mergeCell ref="G78:H78"/>
    <mergeCell ref="G90:H90"/>
    <mergeCell ref="G13:H13"/>
    <mergeCell ref="G121:H121"/>
    <mergeCell ref="G83:H83"/>
    <mergeCell ref="M16:N16"/>
    <mergeCell ref="I16:J16"/>
    <mergeCell ref="K100:L100"/>
    <mergeCell ref="K119:L119"/>
    <mergeCell ref="I36:J36"/>
    <mergeCell ref="I65:J65"/>
    <mergeCell ref="M34:N34"/>
    <mergeCell ref="M78:N78"/>
    <mergeCell ref="K54:L54"/>
    <mergeCell ref="G56:H56"/>
    <mergeCell ref="I56:J56"/>
    <mergeCell ref="M54:N54"/>
    <mergeCell ref="G54:H54"/>
    <mergeCell ref="M65:N65"/>
    <mergeCell ref="M59:N59"/>
    <mergeCell ref="K83:L83"/>
    <mergeCell ref="M83:N83"/>
    <mergeCell ref="I11:J11"/>
    <mergeCell ref="K11:L11"/>
    <mergeCell ref="I162:J162"/>
    <mergeCell ref="G129:H129"/>
    <mergeCell ref="G142:H142"/>
    <mergeCell ref="F16:F17"/>
    <mergeCell ref="G95:H95"/>
    <mergeCell ref="G119:H119"/>
    <mergeCell ref="F83:F84"/>
    <mergeCell ref="G16:H16"/>
    <mergeCell ref="G155:H155"/>
    <mergeCell ref="I83:J83"/>
    <mergeCell ref="G97:H97"/>
    <mergeCell ref="G124:H124"/>
    <mergeCell ref="G100:H100"/>
    <mergeCell ref="F59:F60"/>
    <mergeCell ref="G59:H59"/>
    <mergeCell ref="I59:J59"/>
    <mergeCell ref="K59:L59"/>
    <mergeCell ref="F124:F125"/>
    <mergeCell ref="I34:J34"/>
    <mergeCell ref="K34:L34"/>
    <mergeCell ref="I95:J95"/>
    <mergeCell ref="I78:J78"/>
    <mergeCell ref="P1:Q1"/>
    <mergeCell ref="I1:J1"/>
    <mergeCell ref="G1:H1"/>
    <mergeCell ref="D3:D4"/>
    <mergeCell ref="D16:D17"/>
    <mergeCell ref="D59:D60"/>
    <mergeCell ref="G36:H36"/>
    <mergeCell ref="D100:D101"/>
    <mergeCell ref="D124:D125"/>
    <mergeCell ref="P3:P4"/>
    <mergeCell ref="M3:N3"/>
    <mergeCell ref="K3:L3"/>
    <mergeCell ref="I3:J3"/>
    <mergeCell ref="G3:H3"/>
    <mergeCell ref="D83:D84"/>
    <mergeCell ref="I13:J13"/>
    <mergeCell ref="G80:H80"/>
    <mergeCell ref="I80:J80"/>
    <mergeCell ref="G65:H65"/>
    <mergeCell ref="F3:F4"/>
    <mergeCell ref="G34:H34"/>
    <mergeCell ref="I54:J54"/>
    <mergeCell ref="M11:N11"/>
    <mergeCell ref="K16:L16"/>
  </mergeCells>
  <phoneticPr fontId="1" type="noConversion"/>
  <printOptions horizontalCentered="1"/>
  <pageMargins left="0" right="0" top="0.78740157480314965" bottom="0.98425196850393704" header="0.39370078740157483" footer="0.59055118110236227"/>
  <pageSetup paperSize="9" scale="90"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0"/>
  <sheetViews>
    <sheetView view="pageBreakPreview" topLeftCell="F1" zoomScaleNormal="90" zoomScaleSheetLayoutView="100" workbookViewId="0">
      <selection activeCell="I9" sqref="I9"/>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7.28515625" style="16" bestFit="1" customWidth="1"/>
    <col min="7" max="7" width="14.85546875" style="95" customWidth="1"/>
    <col min="8" max="8" width="13.85546875" style="16" customWidth="1"/>
    <col min="9" max="9" width="13.140625" style="33" customWidth="1"/>
    <col min="10" max="10" width="15.140625"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1.7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0.25" customHeight="1">
      <c r="D4" s="384"/>
      <c r="F4" s="384"/>
      <c r="G4" s="97" t="s">
        <v>374</v>
      </c>
      <c r="H4" s="49" t="s">
        <v>373</v>
      </c>
      <c r="I4" s="49" t="s">
        <v>143</v>
      </c>
      <c r="J4" s="49" t="s">
        <v>142</v>
      </c>
      <c r="K4" s="357" t="s">
        <v>4</v>
      </c>
      <c r="L4" s="357" t="s">
        <v>3</v>
      </c>
      <c r="M4" s="100" t="s">
        <v>141</v>
      </c>
      <c r="N4" s="357" t="s">
        <v>140</v>
      </c>
      <c r="O4" s="429"/>
      <c r="P4" s="388"/>
      <c r="Q4" s="388"/>
      <c r="R4" s="2"/>
      <c r="S4" s="421"/>
    </row>
    <row r="5" spans="2:19" ht="15.75" customHeight="1" thickBot="1">
      <c r="D5" s="85"/>
      <c r="F5" s="176"/>
      <c r="G5" s="145"/>
      <c r="H5" s="136"/>
      <c r="I5" s="146"/>
      <c r="J5" s="146"/>
      <c r="K5" s="136"/>
      <c r="L5" s="136"/>
      <c r="M5" s="145" t="s">
        <v>381</v>
      </c>
      <c r="N5" s="136"/>
      <c r="O5" s="136"/>
      <c r="P5" s="136"/>
      <c r="Q5" s="86" t="s">
        <v>332</v>
      </c>
      <c r="R5" s="42"/>
      <c r="S5" s="220"/>
    </row>
    <row r="6" spans="2:19" ht="21.75" customHeight="1">
      <c r="B6" s="259" t="s">
        <v>452</v>
      </c>
      <c r="C6" s="3" t="s">
        <v>453</v>
      </c>
      <c r="D6" s="35">
        <v>520.12</v>
      </c>
      <c r="F6" s="35"/>
      <c r="G6" s="269"/>
      <c r="H6" s="269">
        <f>(J6-N6)*O6</f>
        <v>1905890</v>
      </c>
      <c r="I6" s="269">
        <f>J6*O6</f>
        <v>1905890</v>
      </c>
      <c r="J6" s="49">
        <v>2.66</v>
      </c>
      <c r="K6" s="6"/>
      <c r="L6" s="28"/>
      <c r="M6" s="269">
        <f>N6*O6</f>
        <v>0</v>
      </c>
      <c r="N6" s="6">
        <v>0</v>
      </c>
      <c r="O6" s="359">
        <v>716500</v>
      </c>
      <c r="P6" s="6" t="s">
        <v>322</v>
      </c>
      <c r="Q6" s="6" t="s">
        <v>501</v>
      </c>
      <c r="R6" s="63" t="s">
        <v>158</v>
      </c>
      <c r="S6" s="358" t="s">
        <v>218</v>
      </c>
    </row>
    <row r="7" spans="2:19" ht="21.75" customHeight="1">
      <c r="B7" s="259" t="s">
        <v>452</v>
      </c>
      <c r="C7" s="3" t="s">
        <v>453</v>
      </c>
      <c r="D7" s="35">
        <v>520.12</v>
      </c>
      <c r="F7" s="35"/>
      <c r="G7" s="269"/>
      <c r="H7" s="269">
        <f t="shared" ref="H7:H8" si="0">(J7-N7)*O7</f>
        <v>31999400.000000004</v>
      </c>
      <c r="I7" s="269">
        <f>J7*O7</f>
        <v>31999400.000000004</v>
      </c>
      <c r="J7" s="49">
        <v>41.45</v>
      </c>
      <c r="K7" s="6"/>
      <c r="L7" s="28"/>
      <c r="M7" s="269">
        <f>N7*O7</f>
        <v>0</v>
      </c>
      <c r="N7" s="6">
        <v>0</v>
      </c>
      <c r="O7" s="359">
        <v>772000</v>
      </c>
      <c r="P7" s="6" t="s">
        <v>322</v>
      </c>
      <c r="Q7" s="6" t="s">
        <v>503</v>
      </c>
      <c r="R7" s="63" t="s">
        <v>158</v>
      </c>
      <c r="S7" s="358" t="s">
        <v>502</v>
      </c>
    </row>
    <row r="8" spans="2:19" ht="21.75" customHeight="1">
      <c r="B8" s="259" t="s">
        <v>452</v>
      </c>
      <c r="C8" s="3" t="s">
        <v>453</v>
      </c>
      <c r="D8" s="35">
        <v>520.12</v>
      </c>
      <c r="F8" s="35"/>
      <c r="G8" s="269"/>
      <c r="H8" s="269">
        <f t="shared" si="0"/>
        <v>197741250</v>
      </c>
      <c r="I8" s="269">
        <f>J8*O8</f>
        <v>197741250</v>
      </c>
      <c r="J8" s="49">
        <v>236.25</v>
      </c>
      <c r="K8" s="6"/>
      <c r="L8" s="28"/>
      <c r="M8" s="269">
        <f>N8*O8</f>
        <v>0</v>
      </c>
      <c r="N8" s="6">
        <v>0</v>
      </c>
      <c r="O8" s="359">
        <v>837000</v>
      </c>
      <c r="P8" s="6" t="s">
        <v>322</v>
      </c>
      <c r="Q8" s="6" t="s">
        <v>505</v>
      </c>
      <c r="R8" s="63" t="s">
        <v>158</v>
      </c>
      <c r="S8" s="358" t="s">
        <v>504</v>
      </c>
    </row>
    <row r="9" spans="2:19" ht="21.75" customHeight="1">
      <c r="B9" s="259" t="s">
        <v>452</v>
      </c>
      <c r="C9" s="3" t="s">
        <v>453</v>
      </c>
      <c r="D9" s="35">
        <v>520.12</v>
      </c>
      <c r="F9" s="35"/>
      <c r="G9" s="269">
        <f>(N9-J9)*O9</f>
        <v>78696540</v>
      </c>
      <c r="H9" s="269"/>
      <c r="I9" s="269">
        <f t="shared" ref="I9:I14" si="1">J9*O9</f>
        <v>7271459.9999999991</v>
      </c>
      <c r="J9" s="49">
        <v>8.1199999999999992</v>
      </c>
      <c r="K9" s="6"/>
      <c r="L9" s="28"/>
      <c r="M9" s="269">
        <f>N9*O9</f>
        <v>85968000</v>
      </c>
      <c r="N9" s="6">
        <v>96</v>
      </c>
      <c r="O9" s="359">
        <v>895500</v>
      </c>
      <c r="P9" s="6" t="s">
        <v>322</v>
      </c>
      <c r="Q9" s="6" t="s">
        <v>455</v>
      </c>
      <c r="R9" s="63" t="s">
        <v>158</v>
      </c>
      <c r="S9" s="358" t="s">
        <v>454</v>
      </c>
    </row>
    <row r="10" spans="2:19" ht="21.75" customHeight="1">
      <c r="B10" s="259" t="s">
        <v>264</v>
      </c>
      <c r="C10" s="3" t="s">
        <v>279</v>
      </c>
      <c r="D10" s="35">
        <v>521.12</v>
      </c>
      <c r="F10" s="35"/>
      <c r="G10" s="269"/>
      <c r="H10" s="269">
        <f t="shared" ref="H10:H22" si="2">(J10-N10)*O10</f>
        <v>25659615</v>
      </c>
      <c r="I10" s="269">
        <f t="shared" si="1"/>
        <v>102969735</v>
      </c>
      <c r="J10" s="49">
        <v>108.79</v>
      </c>
      <c r="K10" s="6"/>
      <c r="L10" s="28"/>
      <c r="M10" s="269">
        <f t="shared" ref="M10:M24" si="3">N10*O10</f>
        <v>77310120</v>
      </c>
      <c r="N10" s="6">
        <v>81.680000000000007</v>
      </c>
      <c r="O10" s="22">
        <v>946500</v>
      </c>
      <c r="P10" s="6" t="s">
        <v>322</v>
      </c>
      <c r="Q10" s="6" t="s">
        <v>342</v>
      </c>
      <c r="R10" s="63" t="s">
        <v>158</v>
      </c>
      <c r="S10" s="34" t="s">
        <v>333</v>
      </c>
    </row>
    <row r="11" spans="2:19" ht="21.75" customHeight="1">
      <c r="D11" s="35"/>
      <c r="F11" s="35"/>
      <c r="G11" s="269"/>
      <c r="H11" s="269">
        <f t="shared" si="2"/>
        <v>90958</v>
      </c>
      <c r="I11" s="269">
        <f t="shared" si="1"/>
        <v>90958</v>
      </c>
      <c r="J11" s="49">
        <v>1.46</v>
      </c>
      <c r="K11" s="6"/>
      <c r="L11" s="28"/>
      <c r="M11" s="269">
        <f t="shared" si="3"/>
        <v>0</v>
      </c>
      <c r="N11" s="6">
        <v>0</v>
      </c>
      <c r="O11" s="359">
        <v>62300</v>
      </c>
      <c r="P11" s="6" t="s">
        <v>322</v>
      </c>
      <c r="Q11" s="6" t="s">
        <v>507</v>
      </c>
      <c r="R11" s="63" t="s">
        <v>158</v>
      </c>
      <c r="S11" s="358" t="s">
        <v>506</v>
      </c>
    </row>
    <row r="12" spans="2:19" ht="21.75" customHeight="1">
      <c r="D12" s="35"/>
      <c r="F12" s="35"/>
      <c r="G12" s="269"/>
      <c r="H12" s="269">
        <f t="shared" si="2"/>
        <v>480500</v>
      </c>
      <c r="I12" s="269">
        <f t="shared" si="1"/>
        <v>4562828</v>
      </c>
      <c r="J12" s="49">
        <v>47.48</v>
      </c>
      <c r="K12" s="6"/>
      <c r="L12" s="28"/>
      <c r="M12" s="269">
        <f t="shared" si="3"/>
        <v>4082327.9999999995</v>
      </c>
      <c r="N12" s="6">
        <v>42.48</v>
      </c>
      <c r="O12" s="359">
        <v>96100</v>
      </c>
      <c r="P12" s="6" t="s">
        <v>322</v>
      </c>
      <c r="Q12" s="6" t="s">
        <v>457</v>
      </c>
      <c r="R12" s="63" t="s">
        <v>158</v>
      </c>
      <c r="S12" s="358" t="s">
        <v>456</v>
      </c>
    </row>
    <row r="13" spans="2:19" ht="21.75" customHeight="1">
      <c r="B13" s="259">
        <v>500</v>
      </c>
      <c r="D13" s="35"/>
      <c r="F13" s="35"/>
      <c r="G13" s="269">
        <f t="shared" ref="G13:G24" si="4">(N13-J13)*O13</f>
        <v>242874.00000000026</v>
      </c>
      <c r="H13" s="269"/>
      <c r="I13" s="269">
        <f t="shared" si="1"/>
        <v>2838246</v>
      </c>
      <c r="J13" s="49">
        <v>36.11</v>
      </c>
      <c r="K13" s="6"/>
      <c r="L13" s="28"/>
      <c r="M13" s="269">
        <f t="shared" si="3"/>
        <v>3081120</v>
      </c>
      <c r="N13" s="6">
        <v>39.200000000000003</v>
      </c>
      <c r="O13" s="22">
        <v>78600</v>
      </c>
      <c r="P13" s="6" t="s">
        <v>322</v>
      </c>
      <c r="Q13" s="6" t="s">
        <v>343</v>
      </c>
      <c r="R13" s="63" t="s">
        <v>158</v>
      </c>
      <c r="S13" s="34" t="s">
        <v>334</v>
      </c>
    </row>
    <row r="14" spans="2:19" ht="21.75" customHeight="1">
      <c r="D14" s="35"/>
      <c r="F14" s="35"/>
      <c r="G14" s="269"/>
      <c r="H14" s="269">
        <f t="shared" si="2"/>
        <v>3065463.9999999995</v>
      </c>
      <c r="I14" s="269">
        <f t="shared" si="1"/>
        <v>3065463.9999999995</v>
      </c>
      <c r="J14" s="49">
        <v>33.909999999999997</v>
      </c>
      <c r="K14" s="6"/>
      <c r="L14" s="28"/>
      <c r="M14" s="269">
        <f t="shared" si="3"/>
        <v>0</v>
      </c>
      <c r="N14" s="6">
        <v>0</v>
      </c>
      <c r="O14" s="359">
        <v>90400</v>
      </c>
      <c r="P14" s="6" t="s">
        <v>390</v>
      </c>
      <c r="Q14" s="6" t="s">
        <v>508</v>
      </c>
      <c r="R14" s="63" t="s">
        <v>158</v>
      </c>
      <c r="S14" s="358" t="s">
        <v>335</v>
      </c>
    </row>
    <row r="15" spans="2:19" ht="21.75" customHeight="1">
      <c r="B15" s="259">
        <v>1050</v>
      </c>
      <c r="D15" s="20">
        <v>521.12</v>
      </c>
      <c r="F15" s="20"/>
      <c r="G15" s="269"/>
      <c r="H15" s="269">
        <f t="shared" si="2"/>
        <v>11944160</v>
      </c>
      <c r="I15" s="269">
        <f t="shared" ref="I15:I24" si="5">J15*O15</f>
        <v>13768160</v>
      </c>
      <c r="J15" s="49">
        <v>90.58</v>
      </c>
      <c r="K15" s="6"/>
      <c r="L15" s="6"/>
      <c r="M15" s="269">
        <f t="shared" si="3"/>
        <v>1824000</v>
      </c>
      <c r="N15" s="6">
        <v>12</v>
      </c>
      <c r="O15" s="22">
        <v>152000</v>
      </c>
      <c r="P15" s="6" t="s">
        <v>322</v>
      </c>
      <c r="Q15" s="6" t="s">
        <v>344</v>
      </c>
      <c r="R15" s="63" t="s">
        <v>159</v>
      </c>
      <c r="S15" s="34" t="s">
        <v>336</v>
      </c>
    </row>
    <row r="16" spans="2:19" ht="21.75" customHeight="1">
      <c r="B16" s="259" t="s">
        <v>464</v>
      </c>
      <c r="C16" s="3" t="s">
        <v>465</v>
      </c>
      <c r="D16" s="20">
        <v>494.94</v>
      </c>
      <c r="F16" s="20"/>
      <c r="G16" s="269"/>
      <c r="H16" s="269">
        <f t="shared" si="2"/>
        <v>16479375</v>
      </c>
      <c r="I16" s="269">
        <f t="shared" si="5"/>
        <v>27759375</v>
      </c>
      <c r="J16" s="49">
        <v>236.25</v>
      </c>
      <c r="K16" s="6"/>
      <c r="L16" s="6"/>
      <c r="M16" s="269">
        <f t="shared" si="3"/>
        <v>11280000</v>
      </c>
      <c r="N16" s="6">
        <v>96</v>
      </c>
      <c r="O16" s="359">
        <v>117500</v>
      </c>
      <c r="P16" s="6" t="s">
        <v>82</v>
      </c>
      <c r="Q16" s="6" t="s">
        <v>467</v>
      </c>
      <c r="R16" s="63" t="s">
        <v>158</v>
      </c>
      <c r="S16" s="38" t="s">
        <v>466</v>
      </c>
    </row>
    <row r="17" spans="2:20" ht="21.75" customHeight="1">
      <c r="B17" s="259" t="s">
        <v>458</v>
      </c>
      <c r="C17" s="3" t="s">
        <v>459</v>
      </c>
      <c r="D17" s="20">
        <v>495.94</v>
      </c>
      <c r="F17" s="20"/>
      <c r="G17" s="269">
        <f t="shared" si="4"/>
        <v>1556800</v>
      </c>
      <c r="H17" s="269"/>
      <c r="I17" s="269">
        <f t="shared" si="5"/>
        <v>0</v>
      </c>
      <c r="J17" s="49">
        <v>0</v>
      </c>
      <c r="K17" s="6"/>
      <c r="L17" s="6"/>
      <c r="M17" s="269">
        <f t="shared" si="3"/>
        <v>1556800</v>
      </c>
      <c r="N17" s="6">
        <v>22.4</v>
      </c>
      <c r="O17" s="359">
        <v>69500</v>
      </c>
      <c r="P17" s="6" t="s">
        <v>82</v>
      </c>
      <c r="Q17" s="6" t="s">
        <v>461</v>
      </c>
      <c r="R17" s="63" t="s">
        <v>159</v>
      </c>
      <c r="S17" s="38" t="s">
        <v>460</v>
      </c>
    </row>
    <row r="18" spans="2:20" ht="21.75" customHeight="1">
      <c r="B18" s="259" t="s">
        <v>257</v>
      </c>
      <c r="C18" s="3" t="s">
        <v>280</v>
      </c>
      <c r="D18" s="20">
        <v>496.94</v>
      </c>
      <c r="F18" s="20"/>
      <c r="G18" s="269"/>
      <c r="H18" s="269">
        <f t="shared" si="2"/>
        <v>832277</v>
      </c>
      <c r="I18" s="269">
        <f t="shared" si="5"/>
        <v>3339853</v>
      </c>
      <c r="J18" s="49">
        <v>108.79</v>
      </c>
      <c r="K18" s="6"/>
      <c r="L18" s="6"/>
      <c r="M18" s="269">
        <f t="shared" si="3"/>
        <v>2507576</v>
      </c>
      <c r="N18" s="6">
        <v>81.680000000000007</v>
      </c>
      <c r="O18" s="22">
        <v>30700</v>
      </c>
      <c r="P18" s="6" t="s">
        <v>322</v>
      </c>
      <c r="Q18" s="6" t="s">
        <v>345</v>
      </c>
      <c r="R18" s="63" t="s">
        <v>158</v>
      </c>
      <c r="S18" s="38" t="s">
        <v>337</v>
      </c>
    </row>
    <row r="19" spans="2:20" ht="21.75" customHeight="1">
      <c r="D19" s="20"/>
      <c r="F19" s="20"/>
      <c r="G19" s="269"/>
      <c r="H19" s="269">
        <f t="shared" si="2"/>
        <v>132029999.99999999</v>
      </c>
      <c r="I19" s="269">
        <f t="shared" si="5"/>
        <v>348030000</v>
      </c>
      <c r="J19" s="49">
        <v>193.35</v>
      </c>
      <c r="K19" s="6"/>
      <c r="L19" s="6"/>
      <c r="M19" s="269">
        <f t="shared" si="3"/>
        <v>216000000</v>
      </c>
      <c r="N19" s="6">
        <v>120</v>
      </c>
      <c r="O19" s="359">
        <v>1800000</v>
      </c>
      <c r="P19" s="6" t="s">
        <v>376</v>
      </c>
      <c r="Q19" s="6" t="s">
        <v>463</v>
      </c>
      <c r="R19" s="63" t="s">
        <v>158</v>
      </c>
      <c r="S19" s="38" t="s">
        <v>462</v>
      </c>
    </row>
    <row r="20" spans="2:20" ht="21.75" customHeight="1">
      <c r="D20" s="20"/>
      <c r="F20" s="20"/>
      <c r="G20" s="269"/>
      <c r="H20" s="269">
        <f t="shared" si="2"/>
        <v>11174400.000000002</v>
      </c>
      <c r="I20" s="269">
        <f t="shared" si="5"/>
        <v>42534400</v>
      </c>
      <c r="J20" s="49">
        <v>1329.2</v>
      </c>
      <c r="K20" s="6"/>
      <c r="L20" s="6"/>
      <c r="M20" s="269">
        <f t="shared" si="3"/>
        <v>31360000</v>
      </c>
      <c r="N20" s="6">
        <v>980</v>
      </c>
      <c r="O20" s="22">
        <v>32000</v>
      </c>
      <c r="P20" s="6" t="s">
        <v>325</v>
      </c>
      <c r="Q20" s="6" t="s">
        <v>346</v>
      </c>
      <c r="R20" s="63" t="s">
        <v>159</v>
      </c>
      <c r="S20" s="38" t="s">
        <v>338</v>
      </c>
    </row>
    <row r="21" spans="2:20" ht="21.75" customHeight="1">
      <c r="D21" s="57"/>
      <c r="F21" s="57"/>
      <c r="G21" s="269"/>
      <c r="H21" s="269">
        <f t="shared" si="2"/>
        <v>157544.80000000002</v>
      </c>
      <c r="I21" s="269">
        <f t="shared" si="5"/>
        <v>231001.60000000001</v>
      </c>
      <c r="J21" s="270">
        <v>144376</v>
      </c>
      <c r="K21" s="7"/>
      <c r="L21" s="7"/>
      <c r="M21" s="269">
        <f t="shared" si="3"/>
        <v>73456.800000000003</v>
      </c>
      <c r="N21" s="7">
        <v>45910.5</v>
      </c>
      <c r="O21" s="60">
        <v>1.6</v>
      </c>
      <c r="P21" s="6" t="s">
        <v>325</v>
      </c>
      <c r="Q21" s="7" t="s">
        <v>469</v>
      </c>
      <c r="R21" s="63" t="s">
        <v>158</v>
      </c>
      <c r="S21" s="61" t="s">
        <v>468</v>
      </c>
    </row>
    <row r="22" spans="2:20" ht="21.75" customHeight="1">
      <c r="D22" s="57"/>
      <c r="F22" s="57"/>
      <c r="G22" s="269"/>
      <c r="H22" s="269">
        <f t="shared" si="2"/>
        <v>70730313</v>
      </c>
      <c r="I22" s="269">
        <f t="shared" si="5"/>
        <v>91650189</v>
      </c>
      <c r="J22" s="270">
        <v>11918.1</v>
      </c>
      <c r="K22" s="7"/>
      <c r="L22" s="7"/>
      <c r="M22" s="269">
        <f t="shared" si="3"/>
        <v>20919876</v>
      </c>
      <c r="N22" s="7">
        <v>2720.4</v>
      </c>
      <c r="O22" s="60">
        <v>7690</v>
      </c>
      <c r="P22" s="7" t="s">
        <v>348</v>
      </c>
      <c r="Q22" s="7" t="s">
        <v>347</v>
      </c>
      <c r="R22" s="63" t="s">
        <v>158</v>
      </c>
      <c r="S22" s="61" t="s">
        <v>339</v>
      </c>
    </row>
    <row r="23" spans="2:20" ht="21.75" customHeight="1">
      <c r="D23" s="57"/>
      <c r="F23" s="57"/>
      <c r="G23" s="269">
        <f t="shared" si="4"/>
        <v>3544500</v>
      </c>
      <c r="H23" s="269"/>
      <c r="I23" s="269">
        <f t="shared" si="5"/>
        <v>0</v>
      </c>
      <c r="J23" s="270">
        <v>0</v>
      </c>
      <c r="K23" s="7"/>
      <c r="L23" s="7"/>
      <c r="M23" s="269">
        <f t="shared" si="3"/>
        <v>3544500</v>
      </c>
      <c r="N23" s="7">
        <v>85</v>
      </c>
      <c r="O23" s="60">
        <v>41700</v>
      </c>
      <c r="P23" s="7" t="s">
        <v>350</v>
      </c>
      <c r="Q23" s="7" t="s">
        <v>349</v>
      </c>
      <c r="R23" s="63" t="s">
        <v>158</v>
      </c>
      <c r="S23" s="61" t="s">
        <v>340</v>
      </c>
    </row>
    <row r="24" spans="2:20" ht="21.75" customHeight="1">
      <c r="D24" s="57"/>
      <c r="F24" s="57"/>
      <c r="G24" s="269">
        <f t="shared" si="4"/>
        <v>11645000</v>
      </c>
      <c r="H24" s="269"/>
      <c r="I24" s="269">
        <f t="shared" si="5"/>
        <v>0</v>
      </c>
      <c r="J24" s="270">
        <v>0</v>
      </c>
      <c r="K24" s="7"/>
      <c r="L24" s="7"/>
      <c r="M24" s="269">
        <f t="shared" si="3"/>
        <v>11645000</v>
      </c>
      <c r="N24" s="7">
        <v>85</v>
      </c>
      <c r="O24" s="60">
        <v>137000</v>
      </c>
      <c r="P24" s="7" t="s">
        <v>350</v>
      </c>
      <c r="Q24" s="7" t="s">
        <v>351</v>
      </c>
      <c r="R24" s="63" t="s">
        <v>158</v>
      </c>
      <c r="S24" s="61" t="s">
        <v>341</v>
      </c>
    </row>
    <row r="25" spans="2:20" ht="25.5" customHeight="1" thickBot="1">
      <c r="D25" s="116"/>
      <c r="F25" s="116"/>
      <c r="G25" s="337">
        <f>SUM(G6:G24)</f>
        <v>95685714</v>
      </c>
      <c r="H25" s="337">
        <f>SUM(H6:H24)</f>
        <v>504291146.80000001</v>
      </c>
      <c r="I25" s="402">
        <f>SUM(I6:I24)</f>
        <v>879758209.60000002</v>
      </c>
      <c r="J25" s="402"/>
      <c r="K25" s="400">
        <f>SUM(K10:K15)</f>
        <v>0</v>
      </c>
      <c r="L25" s="400"/>
      <c r="M25" s="400">
        <f>SUM(M6:M24)</f>
        <v>471152776.80000001</v>
      </c>
      <c r="N25" s="400"/>
      <c r="O25" s="39"/>
      <c r="P25" s="115"/>
      <c r="Q25" s="115" t="s">
        <v>11</v>
      </c>
      <c r="R25" s="8"/>
      <c r="S25" s="206"/>
    </row>
    <row r="26" spans="2:20" ht="49.5" customHeight="1">
      <c r="D26" s="13"/>
      <c r="F26" s="13"/>
      <c r="G26" s="99"/>
      <c r="H26" s="37"/>
      <c r="I26" s="50"/>
      <c r="J26" s="50"/>
      <c r="K26" s="37"/>
      <c r="L26" s="37"/>
      <c r="M26" s="99"/>
      <c r="N26" s="37"/>
      <c r="O26" s="24"/>
      <c r="P26" s="9"/>
      <c r="Q26" s="9"/>
      <c r="R26" s="9"/>
      <c r="S26" s="208"/>
    </row>
    <row r="27" spans="2:20" ht="23.25" hidden="1" customHeight="1">
      <c r="D27" s="77"/>
      <c r="F27" s="173"/>
      <c r="G27" s="382" t="s">
        <v>300</v>
      </c>
      <c r="H27" s="382"/>
      <c r="I27" s="382" t="s">
        <v>145</v>
      </c>
      <c r="J27" s="382"/>
      <c r="K27" s="78"/>
      <c r="L27" s="78"/>
      <c r="M27" s="199"/>
      <c r="N27" s="78"/>
      <c r="O27" s="79"/>
      <c r="P27" s="78"/>
      <c r="Q27" s="80" t="s">
        <v>171</v>
      </c>
      <c r="R27" s="41"/>
      <c r="S27" s="219"/>
    </row>
    <row r="28" spans="2:20" ht="23.25" hidden="1" customHeight="1">
      <c r="D28" s="81"/>
      <c r="F28" s="174"/>
      <c r="G28" s="96"/>
      <c r="H28" s="82"/>
      <c r="I28" s="83"/>
      <c r="J28" s="143" t="s">
        <v>146</v>
      </c>
      <c r="K28" s="144"/>
      <c r="L28" s="144"/>
      <c r="M28" s="200"/>
      <c r="N28" s="144"/>
      <c r="O28" s="135"/>
      <c r="P28" s="144"/>
      <c r="Q28" s="84" t="s">
        <v>292</v>
      </c>
      <c r="R28" s="56"/>
      <c r="S28" s="175"/>
    </row>
    <row r="29" spans="2:20" ht="23.25" hidden="1" customHeight="1" thickBot="1">
      <c r="D29" s="85"/>
      <c r="F29" s="85"/>
      <c r="G29" s="145"/>
      <c r="H29" s="136"/>
      <c r="I29" s="146"/>
      <c r="J29" s="146"/>
      <c r="K29" s="136"/>
      <c r="L29" s="136"/>
      <c r="M29" s="145" t="s">
        <v>183</v>
      </c>
      <c r="N29" s="136"/>
      <c r="O29" s="136"/>
      <c r="P29" s="136"/>
      <c r="Q29" s="86" t="s">
        <v>184</v>
      </c>
      <c r="R29" s="42"/>
      <c r="S29" s="205"/>
    </row>
    <row r="30" spans="2:20" ht="25.5" hidden="1" customHeight="1">
      <c r="D30" s="385" t="s">
        <v>144</v>
      </c>
      <c r="F30" s="385" t="s">
        <v>144</v>
      </c>
      <c r="G30" s="406" t="s">
        <v>63</v>
      </c>
      <c r="H30" s="406"/>
      <c r="I30" s="409" t="s">
        <v>170</v>
      </c>
      <c r="J30" s="409"/>
      <c r="K30" s="401" t="s">
        <v>2</v>
      </c>
      <c r="L30" s="401"/>
      <c r="M30" s="401" t="s">
        <v>220</v>
      </c>
      <c r="N30" s="401"/>
      <c r="O30" s="426" t="s">
        <v>139</v>
      </c>
      <c r="P30" s="401" t="s">
        <v>1</v>
      </c>
      <c r="Q30" s="401" t="s">
        <v>138</v>
      </c>
      <c r="R30" s="62"/>
      <c r="S30" s="424" t="s">
        <v>0</v>
      </c>
    </row>
    <row r="31" spans="2:20" ht="25.5" hidden="1" customHeight="1">
      <c r="D31" s="386"/>
      <c r="F31" s="386"/>
      <c r="G31" s="97" t="s">
        <v>143</v>
      </c>
      <c r="H31" s="49" t="s">
        <v>142</v>
      </c>
      <c r="I31" s="49" t="s">
        <v>143</v>
      </c>
      <c r="J31" s="49" t="s">
        <v>142</v>
      </c>
      <c r="K31" s="1" t="s">
        <v>4</v>
      </c>
      <c r="L31" s="1" t="s">
        <v>3</v>
      </c>
      <c r="M31" s="100" t="s">
        <v>141</v>
      </c>
      <c r="N31" s="1" t="s">
        <v>140</v>
      </c>
      <c r="O31" s="427"/>
      <c r="P31" s="422"/>
      <c r="Q31" s="422"/>
      <c r="R31" s="2"/>
      <c r="S31" s="425"/>
    </row>
    <row r="32" spans="2:20" ht="30.75" hidden="1" customHeight="1">
      <c r="D32" s="111">
        <v>10848.34</v>
      </c>
      <c r="E32" s="109"/>
      <c r="F32" s="111"/>
      <c r="G32" s="100">
        <f t="shared" ref="G32:G47" si="6">H32*O32</f>
        <v>29289600</v>
      </c>
      <c r="H32" s="1">
        <v>10848</v>
      </c>
      <c r="I32" s="40">
        <f>J32*O32</f>
        <v>-9036900</v>
      </c>
      <c r="J32" s="49">
        <f>H32-N32</f>
        <v>-3347</v>
      </c>
      <c r="K32" s="6"/>
      <c r="L32" s="4"/>
      <c r="M32" s="191">
        <f t="shared" ref="M32:M47" si="7">N32*O32</f>
        <v>38326500</v>
      </c>
      <c r="N32" s="4">
        <v>14195</v>
      </c>
      <c r="O32" s="22">
        <v>2700</v>
      </c>
      <c r="P32" s="6" t="s">
        <v>35</v>
      </c>
      <c r="Q32" s="45" t="s">
        <v>152</v>
      </c>
      <c r="R32" s="63" t="s">
        <v>158</v>
      </c>
      <c r="S32" s="38" t="s">
        <v>71</v>
      </c>
      <c r="T32" s="30"/>
    </row>
    <row r="33" spans="2:20" ht="30.75" hidden="1" customHeight="1">
      <c r="D33" s="110">
        <v>1205.3599999999999</v>
      </c>
      <c r="E33" s="109"/>
      <c r="F33" s="110"/>
      <c r="G33" s="100">
        <f t="shared" si="6"/>
        <v>18195500</v>
      </c>
      <c r="H33" s="1">
        <v>1205</v>
      </c>
      <c r="I33" s="40">
        <f t="shared" ref="I33:I47" si="8">J33*O33</f>
        <v>18195500</v>
      </c>
      <c r="J33" s="49">
        <f t="shared" ref="J33:J46" si="9">H33-N33</f>
        <v>1205</v>
      </c>
      <c r="K33" s="6"/>
      <c r="L33" s="4"/>
      <c r="M33" s="191">
        <f t="shared" si="7"/>
        <v>0</v>
      </c>
      <c r="N33" s="4"/>
      <c r="O33" s="22">
        <v>15100</v>
      </c>
      <c r="P33" s="6" t="s">
        <v>35</v>
      </c>
      <c r="Q33" s="45" t="s">
        <v>73</v>
      </c>
      <c r="R33" s="63" t="s">
        <v>158</v>
      </c>
      <c r="S33" s="38" t="s">
        <v>72</v>
      </c>
      <c r="T33" s="30"/>
    </row>
    <row r="34" spans="2:20" ht="30.75" hidden="1" customHeight="1">
      <c r="B34" s="259">
        <v>1500</v>
      </c>
      <c r="D34" s="110">
        <v>1250</v>
      </c>
      <c r="E34" s="109"/>
      <c r="F34" s="110"/>
      <c r="G34" s="100">
        <f t="shared" si="6"/>
        <v>42900000</v>
      </c>
      <c r="H34" s="1">
        <f>1250+1500</f>
        <v>2750</v>
      </c>
      <c r="I34" s="40">
        <f t="shared" si="8"/>
        <v>42900000</v>
      </c>
      <c r="J34" s="49">
        <f t="shared" si="9"/>
        <v>2750</v>
      </c>
      <c r="K34" s="6"/>
      <c r="L34" s="4"/>
      <c r="M34" s="191">
        <f t="shared" si="7"/>
        <v>0</v>
      </c>
      <c r="N34" s="4"/>
      <c r="O34" s="22">
        <v>15600</v>
      </c>
      <c r="P34" s="6" t="s">
        <v>35</v>
      </c>
      <c r="Q34" s="45" t="s">
        <v>246</v>
      </c>
      <c r="R34" s="63" t="s">
        <v>158</v>
      </c>
      <c r="S34" s="38" t="s">
        <v>245</v>
      </c>
      <c r="T34" s="30"/>
    </row>
    <row r="35" spans="2:20" ht="30.75" hidden="1" customHeight="1">
      <c r="B35" s="259" t="s">
        <v>265</v>
      </c>
      <c r="C35" s="3" t="s">
        <v>281</v>
      </c>
      <c r="D35" s="110">
        <v>942</v>
      </c>
      <c r="E35" s="109"/>
      <c r="F35" s="110"/>
      <c r="G35" s="100">
        <f t="shared" si="6"/>
        <v>10413420</v>
      </c>
      <c r="H35" s="1">
        <f>942+1000*0.4+420</f>
        <v>1762</v>
      </c>
      <c r="I35" s="40">
        <f t="shared" si="8"/>
        <v>2139420</v>
      </c>
      <c r="J35" s="49">
        <f t="shared" si="9"/>
        <v>362</v>
      </c>
      <c r="K35" s="6"/>
      <c r="L35" s="4"/>
      <c r="M35" s="191">
        <f t="shared" si="7"/>
        <v>8274000</v>
      </c>
      <c r="N35" s="4">
        <v>1400</v>
      </c>
      <c r="O35" s="22">
        <v>5910</v>
      </c>
      <c r="P35" s="6" t="s">
        <v>35</v>
      </c>
      <c r="Q35" s="45" t="s">
        <v>75</v>
      </c>
      <c r="R35" s="63" t="s">
        <v>158</v>
      </c>
      <c r="S35" s="38" t="s">
        <v>74</v>
      </c>
      <c r="T35" s="30"/>
    </row>
    <row r="36" spans="2:20" ht="30.75" hidden="1" customHeight="1">
      <c r="B36" s="259" t="s">
        <v>266</v>
      </c>
      <c r="D36" s="110">
        <v>1152.5999999999999</v>
      </c>
      <c r="E36" s="109"/>
      <c r="F36" s="110"/>
      <c r="G36" s="100">
        <f t="shared" si="6"/>
        <v>40759200</v>
      </c>
      <c r="H36" s="1">
        <f>1152+2520</f>
        <v>3672</v>
      </c>
      <c r="I36" s="40">
        <f t="shared" si="8"/>
        <v>40759200</v>
      </c>
      <c r="J36" s="49">
        <f t="shared" si="9"/>
        <v>3672</v>
      </c>
      <c r="K36" s="6"/>
      <c r="L36" s="4"/>
      <c r="M36" s="191"/>
      <c r="N36" s="4"/>
      <c r="O36" s="22">
        <v>11100</v>
      </c>
      <c r="P36" s="6" t="s">
        <v>35</v>
      </c>
      <c r="Q36" s="45" t="s">
        <v>248</v>
      </c>
      <c r="R36" s="63" t="s">
        <v>158</v>
      </c>
      <c r="S36" s="38" t="s">
        <v>247</v>
      </c>
      <c r="T36" s="30"/>
    </row>
    <row r="37" spans="2:20" ht="30.75" hidden="1" customHeight="1">
      <c r="C37" s="3" t="s">
        <v>282</v>
      </c>
      <c r="D37" s="110">
        <v>1017.33</v>
      </c>
      <c r="E37" s="109"/>
      <c r="F37" s="110"/>
      <c r="G37" s="100">
        <f t="shared" si="6"/>
        <v>97239700</v>
      </c>
      <c r="H37" s="1">
        <f>1017+1000*0.5</f>
        <v>1517</v>
      </c>
      <c r="I37" s="40">
        <f t="shared" si="8"/>
        <v>-5320300</v>
      </c>
      <c r="J37" s="49">
        <f t="shared" si="9"/>
        <v>-83</v>
      </c>
      <c r="K37" s="6"/>
      <c r="L37" s="4"/>
      <c r="M37" s="191">
        <f t="shared" si="7"/>
        <v>102560000</v>
      </c>
      <c r="N37" s="4">
        <v>1600</v>
      </c>
      <c r="O37" s="22">
        <v>64100</v>
      </c>
      <c r="P37" s="6" t="s">
        <v>35</v>
      </c>
      <c r="Q37" s="45" t="s">
        <v>77</v>
      </c>
      <c r="R37" s="63" t="s">
        <v>158</v>
      </c>
      <c r="S37" s="38" t="s">
        <v>76</v>
      </c>
      <c r="T37" s="30"/>
    </row>
    <row r="38" spans="2:20" ht="30.75" hidden="1" customHeight="1">
      <c r="B38" s="259">
        <v>800</v>
      </c>
      <c r="D38" s="110"/>
      <c r="E38" s="109"/>
      <c r="F38" s="110"/>
      <c r="G38" s="100">
        <f t="shared" si="6"/>
        <v>740000</v>
      </c>
      <c r="H38" s="1">
        <v>800</v>
      </c>
      <c r="I38" s="40">
        <f t="shared" si="8"/>
        <v>740000</v>
      </c>
      <c r="J38" s="49">
        <f t="shared" si="9"/>
        <v>800</v>
      </c>
      <c r="K38" s="6"/>
      <c r="L38" s="4"/>
      <c r="M38" s="191">
        <f t="shared" si="7"/>
        <v>0</v>
      </c>
      <c r="N38" s="4"/>
      <c r="O38" s="22">
        <v>925</v>
      </c>
      <c r="P38" s="6" t="s">
        <v>35</v>
      </c>
      <c r="Q38" s="45" t="s">
        <v>80</v>
      </c>
      <c r="R38" s="63" t="s">
        <v>158</v>
      </c>
      <c r="S38" s="38" t="s">
        <v>78</v>
      </c>
      <c r="T38" s="30"/>
    </row>
    <row r="39" spans="2:20" ht="30.75" hidden="1" customHeight="1">
      <c r="D39" s="110"/>
      <c r="E39" s="109"/>
      <c r="F39" s="110"/>
      <c r="G39" s="100">
        <f t="shared" si="6"/>
        <v>2280000</v>
      </c>
      <c r="H39" s="1">
        <v>300</v>
      </c>
      <c r="I39" s="40">
        <f t="shared" si="8"/>
        <v>2280000</v>
      </c>
      <c r="J39" s="49">
        <f t="shared" si="9"/>
        <v>300</v>
      </c>
      <c r="K39" s="6"/>
      <c r="L39" s="4"/>
      <c r="M39" s="191">
        <f t="shared" si="7"/>
        <v>0</v>
      </c>
      <c r="N39" s="4"/>
      <c r="O39" s="22">
        <v>7600</v>
      </c>
      <c r="P39" s="6" t="s">
        <v>35</v>
      </c>
      <c r="Q39" s="45" t="s">
        <v>81</v>
      </c>
      <c r="R39" s="63" t="s">
        <v>158</v>
      </c>
      <c r="S39" s="38" t="s">
        <v>79</v>
      </c>
      <c r="T39" s="30"/>
    </row>
    <row r="40" spans="2:20" ht="30.75" hidden="1" customHeight="1">
      <c r="B40" s="259">
        <v>4200</v>
      </c>
      <c r="C40" s="3">
        <v>1000</v>
      </c>
      <c r="D40" s="110">
        <v>16823.82</v>
      </c>
      <c r="E40" s="109"/>
      <c r="F40" s="110"/>
      <c r="G40" s="100">
        <f t="shared" si="6"/>
        <v>66509460</v>
      </c>
      <c r="H40" s="203">
        <f>16823+1000+4200</f>
        <v>22023</v>
      </c>
      <c r="I40" s="40">
        <f t="shared" si="8"/>
        <v>57449460</v>
      </c>
      <c r="J40" s="49">
        <f t="shared" si="9"/>
        <v>19023</v>
      </c>
      <c r="K40" s="6"/>
      <c r="L40" s="4"/>
      <c r="M40" s="191">
        <f t="shared" si="7"/>
        <v>9060000</v>
      </c>
      <c r="N40" s="4">
        <v>3000</v>
      </c>
      <c r="O40" s="22">
        <v>3020</v>
      </c>
      <c r="P40" s="6" t="s">
        <v>35</v>
      </c>
      <c r="Q40" s="46" t="s">
        <v>41</v>
      </c>
      <c r="R40" s="63" t="s">
        <v>158</v>
      </c>
      <c r="S40" s="31" t="s">
        <v>37</v>
      </c>
      <c r="T40" s="29"/>
    </row>
    <row r="41" spans="2:20" ht="30.75" hidden="1" customHeight="1">
      <c r="B41" s="259" t="s">
        <v>267</v>
      </c>
      <c r="C41" s="3" t="s">
        <v>283</v>
      </c>
      <c r="D41" s="110">
        <v>67702.559999999998</v>
      </c>
      <c r="E41" s="109"/>
      <c r="F41" s="110"/>
      <c r="G41" s="100">
        <f t="shared" si="6"/>
        <v>23453030</v>
      </c>
      <c r="H41" s="1">
        <f>67702+4*1000+4200*4</f>
        <v>88502</v>
      </c>
      <c r="I41" s="40">
        <f t="shared" si="8"/>
        <v>20273030</v>
      </c>
      <c r="J41" s="49">
        <f t="shared" si="9"/>
        <v>76502</v>
      </c>
      <c r="K41" s="6"/>
      <c r="L41" s="4"/>
      <c r="M41" s="191">
        <f t="shared" si="7"/>
        <v>3180000</v>
      </c>
      <c r="N41" s="4">
        <v>12000</v>
      </c>
      <c r="O41" s="22">
        <v>265</v>
      </c>
      <c r="P41" s="6" t="s">
        <v>35</v>
      </c>
      <c r="Q41" s="46" t="s">
        <v>42</v>
      </c>
      <c r="R41" s="63" t="s">
        <v>158</v>
      </c>
      <c r="S41" s="31" t="s">
        <v>38</v>
      </c>
      <c r="T41" s="29"/>
    </row>
    <row r="42" spans="2:20" ht="30.75" hidden="1" customHeight="1">
      <c r="B42" s="259" t="s">
        <v>268</v>
      </c>
      <c r="C42" s="3" t="s">
        <v>284</v>
      </c>
      <c r="D42" s="110">
        <v>161360.4</v>
      </c>
      <c r="E42" s="109"/>
      <c r="F42" s="110"/>
      <c r="G42" s="100">
        <f t="shared" si="6"/>
        <v>183612800</v>
      </c>
      <c r="H42" s="1">
        <f>161360+5*1000+4200*5</f>
        <v>187360</v>
      </c>
      <c r="I42" s="40">
        <f t="shared" si="8"/>
        <v>4466840</v>
      </c>
      <c r="J42" s="49">
        <f t="shared" si="9"/>
        <v>4558</v>
      </c>
      <c r="K42" s="6"/>
      <c r="L42" s="4"/>
      <c r="M42" s="191">
        <f t="shared" si="7"/>
        <v>179145960</v>
      </c>
      <c r="N42" s="4">
        <v>182802</v>
      </c>
      <c r="O42" s="22">
        <v>980</v>
      </c>
      <c r="P42" s="6" t="s">
        <v>44</v>
      </c>
      <c r="Q42" s="46" t="s">
        <v>222</v>
      </c>
      <c r="R42" s="63" t="s">
        <v>158</v>
      </c>
      <c r="S42" s="31" t="s">
        <v>39</v>
      </c>
      <c r="T42" s="29"/>
    </row>
    <row r="43" spans="2:20" ht="30.75" hidden="1" customHeight="1">
      <c r="D43" s="110">
        <v>103500</v>
      </c>
      <c r="E43" s="109"/>
      <c r="F43" s="110"/>
      <c r="G43" s="100">
        <f t="shared" si="6"/>
        <v>92632500</v>
      </c>
      <c r="H43" s="1">
        <v>103500</v>
      </c>
      <c r="I43" s="40">
        <f t="shared" si="8"/>
        <v>-10292500</v>
      </c>
      <c r="J43" s="49">
        <f t="shared" si="9"/>
        <v>-11500</v>
      </c>
      <c r="K43" s="6"/>
      <c r="L43" s="4"/>
      <c r="M43" s="191">
        <f t="shared" si="7"/>
        <v>102925000</v>
      </c>
      <c r="N43" s="4">
        <v>115000</v>
      </c>
      <c r="O43" s="22">
        <v>895</v>
      </c>
      <c r="P43" s="6" t="s">
        <v>44</v>
      </c>
      <c r="Q43" s="46" t="s">
        <v>223</v>
      </c>
      <c r="R43" s="63" t="s">
        <v>158</v>
      </c>
      <c r="S43" s="31" t="s">
        <v>221</v>
      </c>
      <c r="T43" s="29"/>
    </row>
    <row r="44" spans="2:20" ht="30.75" hidden="1" customHeight="1">
      <c r="B44" s="259" t="s">
        <v>269</v>
      </c>
      <c r="C44" s="3" t="s">
        <v>285</v>
      </c>
      <c r="D44" s="110">
        <v>8037.38</v>
      </c>
      <c r="E44" s="109"/>
      <c r="F44" s="110"/>
      <c r="G44" s="100">
        <f t="shared" si="6"/>
        <v>14662800</v>
      </c>
      <c r="H44" s="1">
        <f>8037+780*0.5*5+2232</f>
        <v>12219</v>
      </c>
      <c r="I44" s="40">
        <f t="shared" si="8"/>
        <v>14662800</v>
      </c>
      <c r="J44" s="49">
        <f t="shared" si="9"/>
        <v>12219</v>
      </c>
      <c r="K44" s="6"/>
      <c r="L44" s="4"/>
      <c r="M44" s="191">
        <f t="shared" si="7"/>
        <v>0</v>
      </c>
      <c r="N44" s="4"/>
      <c r="O44" s="105">
        <v>1200</v>
      </c>
      <c r="P44" s="10" t="s">
        <v>44</v>
      </c>
      <c r="Q44" s="47" t="s">
        <v>43</v>
      </c>
      <c r="R44" s="63" t="s">
        <v>158</v>
      </c>
      <c r="S44" s="31" t="s">
        <v>40</v>
      </c>
      <c r="T44" s="29"/>
    </row>
    <row r="45" spans="2:20" ht="30.75" hidden="1" customHeight="1">
      <c r="D45" s="110">
        <v>23833.7</v>
      </c>
      <c r="E45" s="109"/>
      <c r="F45" s="110"/>
      <c r="G45" s="100">
        <f t="shared" si="6"/>
        <v>412300000</v>
      </c>
      <c r="H45" s="1">
        <f>H47+H145</f>
        <v>11780</v>
      </c>
      <c r="I45" s="40">
        <f t="shared" si="8"/>
        <v>-791420000</v>
      </c>
      <c r="J45" s="49">
        <f t="shared" si="9"/>
        <v>-22612</v>
      </c>
      <c r="K45" s="6"/>
      <c r="L45" s="4"/>
      <c r="M45" s="192">
        <f t="shared" si="7"/>
        <v>1203720000</v>
      </c>
      <c r="N45" s="4">
        <v>34392</v>
      </c>
      <c r="O45" s="105">
        <v>35000</v>
      </c>
      <c r="P45" s="6" t="s">
        <v>35</v>
      </c>
      <c r="Q45" s="48" t="s">
        <v>225</v>
      </c>
      <c r="R45" s="63" t="s">
        <v>158</v>
      </c>
      <c r="S45" s="31" t="s">
        <v>224</v>
      </c>
      <c r="T45" s="29"/>
    </row>
    <row r="46" spans="2:20" ht="30.75" hidden="1" customHeight="1">
      <c r="D46" s="112"/>
      <c r="E46" s="109"/>
      <c r="F46" s="112"/>
      <c r="G46" s="100">
        <f t="shared" si="6"/>
        <v>2060000</v>
      </c>
      <c r="H46" s="1">
        <v>4000</v>
      </c>
      <c r="I46" s="40">
        <f t="shared" si="8"/>
        <v>2060000</v>
      </c>
      <c r="J46" s="49">
        <f t="shared" si="9"/>
        <v>4000</v>
      </c>
      <c r="K46" s="6"/>
      <c r="L46" s="4"/>
      <c r="M46" s="191">
        <f t="shared" si="7"/>
        <v>0</v>
      </c>
      <c r="N46" s="4"/>
      <c r="O46" s="105">
        <v>515</v>
      </c>
      <c r="P46" s="6" t="s">
        <v>35</v>
      </c>
      <c r="Q46" s="48" t="s">
        <v>154</v>
      </c>
      <c r="R46" s="63" t="s">
        <v>158</v>
      </c>
      <c r="S46" s="31" t="s">
        <v>153</v>
      </c>
      <c r="T46" s="29"/>
    </row>
    <row r="47" spans="2:20" ht="30.75" hidden="1" customHeight="1">
      <c r="D47" s="122">
        <v>4500</v>
      </c>
      <c r="E47" s="109"/>
      <c r="F47" s="122"/>
      <c r="G47" s="100">
        <f t="shared" si="6"/>
        <v>306000000</v>
      </c>
      <c r="H47" s="224">
        <v>4500</v>
      </c>
      <c r="I47" s="40">
        <f t="shared" si="8"/>
        <v>-34000000</v>
      </c>
      <c r="J47" s="49">
        <f>H47-N47</f>
        <v>-500</v>
      </c>
      <c r="K47" s="7"/>
      <c r="L47" s="59"/>
      <c r="M47" s="191">
        <f t="shared" si="7"/>
        <v>340000000</v>
      </c>
      <c r="N47" s="59">
        <v>5000</v>
      </c>
      <c r="O47" s="225">
        <v>68000</v>
      </c>
      <c r="P47" s="6" t="s">
        <v>35</v>
      </c>
      <c r="Q47" s="226" t="s">
        <v>227</v>
      </c>
      <c r="R47" s="63" t="s">
        <v>158</v>
      </c>
      <c r="S47" s="227" t="s">
        <v>226</v>
      </c>
      <c r="T47" s="29"/>
    </row>
    <row r="48" spans="2:20" ht="34.5" hidden="1" customHeight="1" thickBot="1">
      <c r="D48" s="118"/>
      <c r="E48" s="109"/>
      <c r="F48" s="118"/>
      <c r="G48" s="397">
        <f>SUM(G32:G47)</f>
        <v>1343048010</v>
      </c>
      <c r="H48" s="398"/>
      <c r="I48" s="402">
        <f>SUM(I32:I47)</f>
        <v>-644143450</v>
      </c>
      <c r="J48" s="402"/>
      <c r="K48" s="400">
        <f>SUM(K32:K46)</f>
        <v>0</v>
      </c>
      <c r="L48" s="400"/>
      <c r="M48" s="400">
        <f>SUM(M32:M47)</f>
        <v>1987191460</v>
      </c>
      <c r="N48" s="400"/>
      <c r="O48" s="119"/>
      <c r="P48" s="117"/>
      <c r="Q48" s="114" t="s">
        <v>5</v>
      </c>
      <c r="R48" s="8" t="s">
        <v>158</v>
      </c>
      <c r="S48" s="209"/>
      <c r="T48" s="29"/>
    </row>
    <row r="49" spans="2:20" ht="49.5" hidden="1" customHeight="1" thickBot="1">
      <c r="D49" s="13"/>
      <c r="F49" s="13"/>
      <c r="G49" s="101"/>
      <c r="H49" s="44"/>
      <c r="I49" s="51"/>
      <c r="J49" s="51"/>
      <c r="K49" s="44"/>
      <c r="L49" s="44"/>
      <c r="M49" s="101"/>
      <c r="N49" s="44"/>
      <c r="O49" s="106"/>
      <c r="P49" s="44"/>
      <c r="Q49" s="19"/>
      <c r="R49" s="70"/>
      <c r="S49" s="210"/>
      <c r="T49" s="29"/>
    </row>
    <row r="50" spans="2:20" ht="23.25" hidden="1" customHeight="1">
      <c r="D50" s="173"/>
      <c r="F50" s="173"/>
      <c r="G50" s="382" t="s">
        <v>300</v>
      </c>
      <c r="H50" s="382"/>
      <c r="I50" s="382" t="s">
        <v>145</v>
      </c>
      <c r="J50" s="382"/>
      <c r="K50" s="78"/>
      <c r="L50" s="78"/>
      <c r="M50" s="199"/>
      <c r="N50" s="78"/>
      <c r="O50" s="79"/>
      <c r="P50" s="78"/>
      <c r="Q50" s="80" t="s">
        <v>171</v>
      </c>
      <c r="R50" s="41"/>
      <c r="S50" s="219"/>
    </row>
    <row r="51" spans="2:20" ht="23.25" hidden="1" customHeight="1">
      <c r="D51" s="174"/>
      <c r="F51" s="174"/>
      <c r="G51" s="96"/>
      <c r="H51" s="82"/>
      <c r="I51" s="83"/>
      <c r="J51" s="143" t="s">
        <v>146</v>
      </c>
      <c r="K51" s="144"/>
      <c r="L51" s="144"/>
      <c r="M51" s="200"/>
      <c r="N51" s="144"/>
      <c r="O51" s="135"/>
      <c r="P51" s="144"/>
      <c r="Q51" s="84" t="s">
        <v>292</v>
      </c>
      <c r="R51" s="56"/>
      <c r="S51" s="175"/>
    </row>
    <row r="52" spans="2:20" ht="25.5" hidden="1" customHeight="1" thickBot="1">
      <c r="D52" s="176"/>
      <c r="F52" s="176"/>
      <c r="G52" s="145"/>
      <c r="H52" s="136"/>
      <c r="I52" s="146"/>
      <c r="J52" s="146"/>
      <c r="K52" s="136"/>
      <c r="L52" s="136"/>
      <c r="M52" s="145" t="s">
        <v>183</v>
      </c>
      <c r="N52" s="136"/>
      <c r="O52" s="136"/>
      <c r="P52" s="136"/>
      <c r="Q52" s="86" t="s">
        <v>185</v>
      </c>
      <c r="R52" s="42"/>
      <c r="S52" s="220"/>
    </row>
    <row r="53" spans="2:20" ht="25.5" hidden="1" customHeight="1">
      <c r="C53" s="3" t="s">
        <v>288</v>
      </c>
      <c r="D53" s="249">
        <v>462.4</v>
      </c>
      <c r="F53" s="249"/>
      <c r="G53" s="250">
        <f>H53*O53</f>
        <v>44737000</v>
      </c>
      <c r="H53" s="251">
        <f>462+100*7</f>
        <v>1162</v>
      </c>
      <c r="I53" s="40">
        <f>J53*O53</f>
        <v>42427000</v>
      </c>
      <c r="J53" s="268">
        <f>H53-N53</f>
        <v>1102</v>
      </c>
      <c r="K53" s="251"/>
      <c r="L53" s="251"/>
      <c r="M53" s="252">
        <f>N53*O53</f>
        <v>2310000</v>
      </c>
      <c r="N53" s="253">
        <v>60</v>
      </c>
      <c r="O53" s="254">
        <v>38500</v>
      </c>
      <c r="P53" s="255" t="s">
        <v>187</v>
      </c>
      <c r="Q53" s="256" t="s">
        <v>229</v>
      </c>
      <c r="R53" s="257"/>
      <c r="S53" s="258" t="s">
        <v>228</v>
      </c>
    </row>
    <row r="54" spans="2:20" ht="30.75" hidden="1" customHeight="1">
      <c r="B54" s="259">
        <v>1099</v>
      </c>
      <c r="D54" s="228">
        <v>900</v>
      </c>
      <c r="E54" s="109"/>
      <c r="F54" s="228"/>
      <c r="G54" s="100">
        <f t="shared" ref="G54:G67" si="10">H54*O54</f>
        <v>184307800</v>
      </c>
      <c r="H54" s="1">
        <f>900+1099</f>
        <v>1999</v>
      </c>
      <c r="I54" s="40">
        <f t="shared" ref="I54:I67" si="11">J54*O54</f>
        <v>168910400</v>
      </c>
      <c r="J54" s="49">
        <f t="shared" ref="J54:J67" si="12">H54-N54</f>
        <v>1832</v>
      </c>
      <c r="K54" s="1"/>
      <c r="L54" s="1"/>
      <c r="M54" s="242">
        <f t="shared" ref="M54:M67" si="13">N54*O54</f>
        <v>15397400</v>
      </c>
      <c r="N54" s="231">
        <v>167</v>
      </c>
      <c r="O54" s="232">
        <v>92200</v>
      </c>
      <c r="P54" s="229" t="s">
        <v>187</v>
      </c>
      <c r="Q54" s="230" t="s">
        <v>186</v>
      </c>
      <c r="R54" s="63"/>
      <c r="S54" s="34" t="s">
        <v>230</v>
      </c>
    </row>
    <row r="55" spans="2:20" ht="30.75" hidden="1" customHeight="1">
      <c r="D55" s="111"/>
      <c r="E55" s="109"/>
      <c r="F55" s="111"/>
      <c r="G55" s="100">
        <f t="shared" si="10"/>
        <v>0</v>
      </c>
      <c r="H55" s="1"/>
      <c r="I55" s="40">
        <f t="shared" si="11"/>
        <v>0</v>
      </c>
      <c r="J55" s="49">
        <f t="shared" si="12"/>
        <v>0</v>
      </c>
      <c r="K55" s="4"/>
      <c r="L55" s="4"/>
      <c r="M55" s="242">
        <f t="shared" si="13"/>
        <v>0</v>
      </c>
      <c r="N55" s="231"/>
      <c r="O55" s="233">
        <v>104000</v>
      </c>
      <c r="P55" s="152" t="s">
        <v>187</v>
      </c>
      <c r="Q55" s="123" t="s">
        <v>188</v>
      </c>
      <c r="R55" s="63" t="s">
        <v>158</v>
      </c>
      <c r="S55" s="38" t="s">
        <v>83</v>
      </c>
    </row>
    <row r="56" spans="2:20" ht="30.75" hidden="1" customHeight="1">
      <c r="D56" s="111"/>
      <c r="E56" s="109"/>
      <c r="F56" s="111"/>
      <c r="G56" s="100">
        <f t="shared" si="10"/>
        <v>0</v>
      </c>
      <c r="H56" s="1"/>
      <c r="I56" s="40">
        <f t="shared" si="11"/>
        <v>0</v>
      </c>
      <c r="J56" s="49">
        <f t="shared" si="12"/>
        <v>0</v>
      </c>
      <c r="K56" s="4"/>
      <c r="L56" s="4"/>
      <c r="M56" s="242">
        <f t="shared" si="13"/>
        <v>0</v>
      </c>
      <c r="N56" s="231"/>
      <c r="O56" s="234">
        <v>259500</v>
      </c>
      <c r="P56" s="153" t="s">
        <v>187</v>
      </c>
      <c r="Q56" s="124" t="s">
        <v>189</v>
      </c>
      <c r="R56" s="63" t="s">
        <v>158</v>
      </c>
      <c r="S56" s="38" t="s">
        <v>180</v>
      </c>
    </row>
    <row r="57" spans="2:20" ht="30.75" hidden="1" customHeight="1">
      <c r="B57" s="259">
        <v>2000</v>
      </c>
      <c r="D57" s="111">
        <v>1897.39</v>
      </c>
      <c r="E57" s="109"/>
      <c r="F57" s="111"/>
      <c r="G57" s="100">
        <f t="shared" si="10"/>
        <v>1077511000</v>
      </c>
      <c r="H57" s="1">
        <f>1897+2200</f>
        <v>4097</v>
      </c>
      <c r="I57" s="40">
        <f t="shared" si="11"/>
        <v>827398000</v>
      </c>
      <c r="J57" s="49">
        <f t="shared" si="12"/>
        <v>3146</v>
      </c>
      <c r="K57" s="4"/>
      <c r="L57" s="4"/>
      <c r="M57" s="242">
        <f t="shared" si="13"/>
        <v>250113000</v>
      </c>
      <c r="N57" s="231">
        <v>951</v>
      </c>
      <c r="O57" s="235">
        <v>263000</v>
      </c>
      <c r="P57" s="154" t="s">
        <v>187</v>
      </c>
      <c r="Q57" s="125" t="s">
        <v>190</v>
      </c>
      <c r="R57" s="63" t="s">
        <v>158</v>
      </c>
      <c r="S57" s="38" t="s">
        <v>172</v>
      </c>
    </row>
    <row r="58" spans="2:20" ht="30.75" hidden="1" customHeight="1">
      <c r="B58" s="259">
        <v>2000</v>
      </c>
      <c r="D58" s="111">
        <v>1860.03</v>
      </c>
      <c r="E58" s="109"/>
      <c r="F58" s="111"/>
      <c r="G58" s="100">
        <f t="shared" si="10"/>
        <v>220458000</v>
      </c>
      <c r="H58" s="1">
        <f>1860+2200</f>
        <v>4060</v>
      </c>
      <c r="I58" s="40">
        <f t="shared" si="11"/>
        <v>168818700</v>
      </c>
      <c r="J58" s="49">
        <f t="shared" si="12"/>
        <v>3109</v>
      </c>
      <c r="K58" s="4"/>
      <c r="L58" s="4"/>
      <c r="M58" s="242">
        <f t="shared" si="13"/>
        <v>51639300</v>
      </c>
      <c r="N58" s="231">
        <v>951</v>
      </c>
      <c r="O58" s="236">
        <v>54300</v>
      </c>
      <c r="P58" s="155" t="s">
        <v>187</v>
      </c>
      <c r="Q58" s="126" t="s">
        <v>191</v>
      </c>
      <c r="R58" s="63" t="s">
        <v>158</v>
      </c>
      <c r="S58" s="38" t="s">
        <v>173</v>
      </c>
    </row>
    <row r="59" spans="2:20" ht="30.75" hidden="1" customHeight="1">
      <c r="B59" s="259">
        <v>1400</v>
      </c>
      <c r="D59" s="111">
        <v>1964.98</v>
      </c>
      <c r="E59" s="109"/>
      <c r="F59" s="111"/>
      <c r="G59" s="100">
        <f t="shared" si="10"/>
        <v>225388000</v>
      </c>
      <c r="H59" s="1">
        <f>1964+1400</f>
        <v>3364</v>
      </c>
      <c r="I59" s="40">
        <f t="shared" si="11"/>
        <v>134469000</v>
      </c>
      <c r="J59" s="49">
        <f t="shared" si="12"/>
        <v>2007</v>
      </c>
      <c r="K59" s="4"/>
      <c r="L59" s="4"/>
      <c r="M59" s="242">
        <f t="shared" si="13"/>
        <v>90919000</v>
      </c>
      <c r="N59" s="231">
        <v>1357</v>
      </c>
      <c r="O59" s="237">
        <v>67000</v>
      </c>
      <c r="P59" s="156" t="s">
        <v>82</v>
      </c>
      <c r="Q59" s="127" t="s">
        <v>215</v>
      </c>
      <c r="R59" s="63" t="s">
        <v>158</v>
      </c>
      <c r="S59" s="38" t="s">
        <v>214</v>
      </c>
    </row>
    <row r="60" spans="2:20" ht="30.75" hidden="1" customHeight="1">
      <c r="D60" s="111"/>
      <c r="E60" s="109"/>
      <c r="F60" s="111"/>
      <c r="G60" s="100">
        <f t="shared" si="10"/>
        <v>0</v>
      </c>
      <c r="H60" s="1"/>
      <c r="I60" s="40">
        <f t="shared" si="11"/>
        <v>0</v>
      </c>
      <c r="J60" s="49">
        <f t="shared" si="12"/>
        <v>0</v>
      </c>
      <c r="K60" s="4"/>
      <c r="L60" s="4"/>
      <c r="M60" s="242">
        <f t="shared" si="13"/>
        <v>0</v>
      </c>
      <c r="N60" s="231"/>
      <c r="O60" s="238">
        <v>24300</v>
      </c>
      <c r="P60" s="157" t="s">
        <v>187</v>
      </c>
      <c r="Q60" s="128" t="s">
        <v>192</v>
      </c>
      <c r="R60" s="63" t="s">
        <v>158</v>
      </c>
      <c r="S60" s="38" t="s">
        <v>174</v>
      </c>
    </row>
    <row r="61" spans="2:20" ht="30.75" hidden="1" customHeight="1">
      <c r="D61" s="111"/>
      <c r="E61" s="109"/>
      <c r="F61" s="111"/>
      <c r="G61" s="100">
        <f t="shared" si="10"/>
        <v>0</v>
      </c>
      <c r="H61" s="1"/>
      <c r="I61" s="40">
        <f t="shared" si="11"/>
        <v>0</v>
      </c>
      <c r="J61" s="49">
        <f t="shared" si="12"/>
        <v>0</v>
      </c>
      <c r="K61" s="4"/>
      <c r="L61" s="4"/>
      <c r="M61" s="242">
        <f t="shared" si="13"/>
        <v>0</v>
      </c>
      <c r="N61" s="231"/>
      <c r="O61" s="238">
        <v>664000</v>
      </c>
      <c r="P61" s="157" t="s">
        <v>187</v>
      </c>
      <c r="Q61" s="128" t="s">
        <v>261</v>
      </c>
      <c r="R61" s="63" t="s">
        <v>158</v>
      </c>
      <c r="S61" s="38" t="s">
        <v>260</v>
      </c>
    </row>
    <row r="62" spans="2:20" ht="30.75" hidden="1" customHeight="1">
      <c r="B62" s="259">
        <v>70</v>
      </c>
      <c r="D62" s="111"/>
      <c r="E62" s="109"/>
      <c r="F62" s="111"/>
      <c r="G62" s="100">
        <f t="shared" si="10"/>
        <v>2394000</v>
      </c>
      <c r="H62" s="1">
        <v>70</v>
      </c>
      <c r="I62" s="40">
        <f t="shared" si="11"/>
        <v>2394000</v>
      </c>
      <c r="J62" s="49">
        <f t="shared" si="12"/>
        <v>70</v>
      </c>
      <c r="K62" s="4"/>
      <c r="L62" s="4"/>
      <c r="M62" s="242">
        <f t="shared" si="13"/>
        <v>0</v>
      </c>
      <c r="N62" s="231"/>
      <c r="O62" s="238">
        <v>34200</v>
      </c>
      <c r="P62" s="157" t="s">
        <v>187</v>
      </c>
      <c r="Q62" s="262" t="s">
        <v>259</v>
      </c>
      <c r="R62" s="63" t="s">
        <v>158</v>
      </c>
      <c r="S62" s="38" t="s">
        <v>258</v>
      </c>
    </row>
    <row r="63" spans="2:20" ht="30.75" hidden="1" customHeight="1">
      <c r="D63" s="111">
        <v>328.27</v>
      </c>
      <c r="E63" s="109"/>
      <c r="F63" s="111"/>
      <c r="G63" s="100">
        <f t="shared" si="10"/>
        <v>9118400</v>
      </c>
      <c r="H63" s="1">
        <f>328</f>
        <v>328</v>
      </c>
      <c r="I63" s="40">
        <f t="shared" si="11"/>
        <v>3558400</v>
      </c>
      <c r="J63" s="49">
        <f t="shared" si="12"/>
        <v>128</v>
      </c>
      <c r="K63" s="4"/>
      <c r="L63" s="4"/>
      <c r="M63" s="242">
        <f t="shared" si="13"/>
        <v>5560000</v>
      </c>
      <c r="N63" s="231">
        <v>200</v>
      </c>
      <c r="O63" s="239">
        <v>27800</v>
      </c>
      <c r="P63" s="157" t="s">
        <v>187</v>
      </c>
      <c r="Q63" s="129" t="s">
        <v>194</v>
      </c>
      <c r="R63" s="63" t="s">
        <v>158</v>
      </c>
      <c r="S63" s="38" t="s">
        <v>175</v>
      </c>
    </row>
    <row r="64" spans="2:20" ht="30.75" hidden="1" customHeight="1">
      <c r="D64" s="111">
        <v>964.17</v>
      </c>
      <c r="E64" s="109"/>
      <c r="F64" s="111"/>
      <c r="G64" s="100">
        <f t="shared" si="10"/>
        <v>29787600</v>
      </c>
      <c r="H64" s="1">
        <v>964</v>
      </c>
      <c r="I64" s="40">
        <f t="shared" si="11"/>
        <v>2163000</v>
      </c>
      <c r="J64" s="49">
        <f t="shared" si="12"/>
        <v>70</v>
      </c>
      <c r="K64" s="4"/>
      <c r="L64" s="4"/>
      <c r="M64" s="242">
        <f t="shared" si="13"/>
        <v>27624600</v>
      </c>
      <c r="N64" s="231">
        <v>894</v>
      </c>
      <c r="O64" s="240">
        <v>30900</v>
      </c>
      <c r="P64" s="158" t="s">
        <v>82</v>
      </c>
      <c r="Q64" s="130" t="s">
        <v>193</v>
      </c>
      <c r="R64" s="63" t="s">
        <v>158</v>
      </c>
      <c r="S64" s="38" t="s">
        <v>176</v>
      </c>
    </row>
    <row r="65" spans="2:20" ht="30.75" hidden="1" customHeight="1">
      <c r="B65" s="259" t="s">
        <v>293</v>
      </c>
      <c r="C65" s="3" t="s">
        <v>289</v>
      </c>
      <c r="D65" s="110">
        <v>27261</v>
      </c>
      <c r="E65" s="109"/>
      <c r="F65" s="110"/>
      <c r="G65" s="100">
        <f t="shared" si="10"/>
        <v>55821780</v>
      </c>
      <c r="H65" s="1">
        <f>27261+700*9+2000*9*1.3</f>
        <v>56961</v>
      </c>
      <c r="I65" s="40">
        <f t="shared" si="11"/>
        <v>44388120</v>
      </c>
      <c r="J65" s="49">
        <f t="shared" si="12"/>
        <v>45294</v>
      </c>
      <c r="K65" s="4"/>
      <c r="L65" s="4"/>
      <c r="M65" s="242">
        <f t="shared" si="13"/>
        <v>11433660</v>
      </c>
      <c r="N65" s="231">
        <v>11667</v>
      </c>
      <c r="O65" s="241">
        <v>980</v>
      </c>
      <c r="P65" s="6" t="s">
        <v>44</v>
      </c>
      <c r="Q65" s="45" t="s">
        <v>84</v>
      </c>
      <c r="R65" s="63" t="s">
        <v>158</v>
      </c>
      <c r="S65" s="38" t="s">
        <v>85</v>
      </c>
    </row>
    <row r="66" spans="2:20" ht="30.75" hidden="1" customHeight="1">
      <c r="B66" s="259" t="s">
        <v>294</v>
      </c>
      <c r="C66" s="3" t="s">
        <v>290</v>
      </c>
      <c r="D66" s="110">
        <v>76580.14</v>
      </c>
      <c r="E66" s="109"/>
      <c r="F66" s="110"/>
      <c r="G66" s="100">
        <f t="shared" si="10"/>
        <v>127609100</v>
      </c>
      <c r="H66" s="1">
        <f>76580+700*20+2000*20*1.3</f>
        <v>142580</v>
      </c>
      <c r="I66" s="40">
        <f t="shared" si="11"/>
        <v>104405330</v>
      </c>
      <c r="J66" s="49">
        <f t="shared" si="12"/>
        <v>116654</v>
      </c>
      <c r="K66" s="4"/>
      <c r="L66" s="4"/>
      <c r="M66" s="242">
        <f t="shared" si="13"/>
        <v>23203770</v>
      </c>
      <c r="N66" s="231">
        <v>25926</v>
      </c>
      <c r="O66" s="241">
        <v>895</v>
      </c>
      <c r="P66" s="6" t="s">
        <v>44</v>
      </c>
      <c r="Q66" s="45" t="s">
        <v>181</v>
      </c>
      <c r="R66" s="63" t="s">
        <v>158</v>
      </c>
      <c r="S66" s="38" t="s">
        <v>128</v>
      </c>
    </row>
    <row r="67" spans="2:20" ht="30.75" hidden="1" customHeight="1">
      <c r="B67" s="259" t="s">
        <v>295</v>
      </c>
      <c r="D67" s="122">
        <v>53865.71</v>
      </c>
      <c r="E67" s="109"/>
      <c r="F67" s="122"/>
      <c r="G67" s="100">
        <f t="shared" si="10"/>
        <v>68257475</v>
      </c>
      <c r="H67" s="58">
        <f>53865+2000*16*1.3</f>
        <v>95465</v>
      </c>
      <c r="I67" s="40">
        <f t="shared" si="11"/>
        <v>54114060</v>
      </c>
      <c r="J67" s="49">
        <f t="shared" si="12"/>
        <v>75684</v>
      </c>
      <c r="K67" s="59"/>
      <c r="L67" s="59"/>
      <c r="M67" s="242">
        <f t="shared" si="13"/>
        <v>14143415</v>
      </c>
      <c r="N67" s="231">
        <v>19781</v>
      </c>
      <c r="O67" s="241">
        <v>715</v>
      </c>
      <c r="P67" s="6" t="s">
        <v>44</v>
      </c>
      <c r="Q67" s="45" t="s">
        <v>157</v>
      </c>
      <c r="R67" s="63" t="s">
        <v>158</v>
      </c>
      <c r="S67" s="61" t="s">
        <v>156</v>
      </c>
    </row>
    <row r="68" spans="2:20" ht="36.75" hidden="1" customHeight="1" thickBot="1">
      <c r="D68" s="131"/>
      <c r="F68" s="131"/>
      <c r="G68" s="397">
        <f>SUM(G53:G67)</f>
        <v>2045390155</v>
      </c>
      <c r="H68" s="398"/>
      <c r="I68" s="399">
        <f>SUM(I53:I67)</f>
        <v>1553046010</v>
      </c>
      <c r="J68" s="399"/>
      <c r="K68" s="411">
        <f>SUM(K55:K66)</f>
        <v>0</v>
      </c>
      <c r="L68" s="411"/>
      <c r="M68" s="411">
        <f>SUM(M53:M67)</f>
        <v>492344145</v>
      </c>
      <c r="N68" s="411"/>
      <c r="O68" s="133"/>
      <c r="P68" s="132"/>
      <c r="Q68" s="134" t="s">
        <v>86</v>
      </c>
      <c r="R68" s="8" t="s">
        <v>158</v>
      </c>
      <c r="S68" s="209"/>
      <c r="T68" s="29"/>
    </row>
    <row r="69" spans="2:20" ht="49.5" hidden="1" customHeight="1" thickBot="1">
      <c r="D69" s="89"/>
      <c r="F69" s="89"/>
      <c r="G69" s="102"/>
      <c r="H69" s="92"/>
      <c r="I69" s="93"/>
      <c r="J69" s="93"/>
      <c r="K69" s="92"/>
      <c r="L69" s="92"/>
      <c r="M69" s="102"/>
      <c r="N69" s="92"/>
      <c r="O69" s="107"/>
      <c r="P69" s="92"/>
      <c r="Q69" s="94"/>
      <c r="R69" s="69"/>
      <c r="S69" s="211"/>
      <c r="T69" s="29"/>
    </row>
    <row r="70" spans="2:20" ht="23.25" hidden="1" customHeight="1">
      <c r="D70" s="77"/>
      <c r="F70" s="173"/>
      <c r="G70" s="382" t="s">
        <v>300</v>
      </c>
      <c r="H70" s="382"/>
      <c r="I70" s="382" t="s">
        <v>145</v>
      </c>
      <c r="J70" s="382"/>
      <c r="K70" s="78"/>
      <c r="L70" s="78"/>
      <c r="M70" s="199"/>
      <c r="N70" s="78"/>
      <c r="O70" s="79"/>
      <c r="P70" s="78"/>
      <c r="Q70" s="80" t="s">
        <v>171</v>
      </c>
      <c r="R70" s="41"/>
      <c r="S70" s="219"/>
    </row>
    <row r="71" spans="2:20" ht="23.25" hidden="1" customHeight="1">
      <c r="D71" s="81"/>
      <c r="F71" s="174"/>
      <c r="G71" s="96"/>
      <c r="H71" s="82"/>
      <c r="I71" s="83"/>
      <c r="J71" s="143" t="s">
        <v>146</v>
      </c>
      <c r="K71" s="144"/>
      <c r="L71" s="144"/>
      <c r="M71" s="200"/>
      <c r="N71" s="144"/>
      <c r="O71" s="135"/>
      <c r="P71" s="144"/>
      <c r="Q71" s="84" t="s">
        <v>292</v>
      </c>
      <c r="R71" s="56"/>
      <c r="S71" s="175"/>
    </row>
    <row r="72" spans="2:20" ht="23.25" hidden="1" customHeight="1" thickBot="1">
      <c r="D72" s="85"/>
      <c r="F72" s="85"/>
      <c r="G72" s="145"/>
      <c r="H72" s="136"/>
      <c r="I72" s="146"/>
      <c r="J72" s="146"/>
      <c r="K72" s="136"/>
      <c r="L72" s="136"/>
      <c r="M72" s="145" t="s">
        <v>183</v>
      </c>
      <c r="N72" s="136"/>
      <c r="O72" s="136"/>
      <c r="P72" s="136"/>
      <c r="Q72" s="86" t="s">
        <v>195</v>
      </c>
      <c r="R72" s="42"/>
      <c r="S72" s="205"/>
    </row>
    <row r="73" spans="2:20" ht="25.5" hidden="1" customHeight="1">
      <c r="D73" s="385" t="s">
        <v>144</v>
      </c>
      <c r="F73" s="385" t="s">
        <v>144</v>
      </c>
      <c r="G73" s="406" t="s">
        <v>63</v>
      </c>
      <c r="H73" s="406"/>
      <c r="I73" s="409" t="s">
        <v>170</v>
      </c>
      <c r="J73" s="409"/>
      <c r="K73" s="401" t="s">
        <v>2</v>
      </c>
      <c r="L73" s="401"/>
      <c r="M73" s="401" t="s">
        <v>169</v>
      </c>
      <c r="N73" s="401"/>
      <c r="O73" s="426" t="s">
        <v>139</v>
      </c>
      <c r="P73" s="401" t="s">
        <v>1</v>
      </c>
      <c r="Q73" s="401" t="s">
        <v>138</v>
      </c>
      <c r="R73" s="62"/>
      <c r="S73" s="424" t="s">
        <v>0</v>
      </c>
    </row>
    <row r="74" spans="2:20" ht="25.5" hidden="1" customHeight="1">
      <c r="D74" s="386"/>
      <c r="F74" s="386"/>
      <c r="G74" s="97" t="s">
        <v>143</v>
      </c>
      <c r="H74" s="49" t="s">
        <v>142</v>
      </c>
      <c r="I74" s="49" t="s">
        <v>143</v>
      </c>
      <c r="J74" s="49" t="s">
        <v>142</v>
      </c>
      <c r="K74" s="1" t="s">
        <v>4</v>
      </c>
      <c r="L74" s="1" t="s">
        <v>3</v>
      </c>
      <c r="M74" s="100" t="s">
        <v>141</v>
      </c>
      <c r="N74" s="1" t="s">
        <v>140</v>
      </c>
      <c r="O74" s="427"/>
      <c r="P74" s="422"/>
      <c r="Q74" s="422"/>
      <c r="R74" s="2"/>
      <c r="S74" s="425"/>
    </row>
    <row r="75" spans="2:20" ht="34.5" hidden="1" customHeight="1">
      <c r="D75" s="35"/>
      <c r="F75" s="35"/>
      <c r="G75" s="100">
        <f>H75*O75</f>
        <v>0</v>
      </c>
      <c r="H75" s="1"/>
      <c r="I75" s="40">
        <f>J75*O75</f>
        <v>0</v>
      </c>
      <c r="J75" s="49">
        <f>H75-N75</f>
        <v>0</v>
      </c>
      <c r="K75" s="6"/>
      <c r="L75" s="4"/>
      <c r="M75" s="191"/>
      <c r="N75" s="4"/>
      <c r="O75" s="147">
        <v>25900</v>
      </c>
      <c r="P75" s="159" t="s">
        <v>82</v>
      </c>
      <c r="Q75" s="137" t="s">
        <v>196</v>
      </c>
      <c r="R75" s="63" t="s">
        <v>158</v>
      </c>
      <c r="S75" s="38" t="s">
        <v>177</v>
      </c>
      <c r="T75" s="29"/>
    </row>
    <row r="76" spans="2:20" ht="34.5" hidden="1" customHeight="1">
      <c r="D76" s="35"/>
      <c r="F76" s="35"/>
      <c r="G76" s="100">
        <f>H76*O76</f>
        <v>0</v>
      </c>
      <c r="H76" s="1"/>
      <c r="I76" s="40">
        <f>J76*O76</f>
        <v>0</v>
      </c>
      <c r="J76" s="49">
        <f>H76-N76</f>
        <v>0</v>
      </c>
      <c r="K76" s="6"/>
      <c r="L76" s="4"/>
      <c r="M76" s="191"/>
      <c r="N76" s="4"/>
      <c r="O76" s="148">
        <v>39700</v>
      </c>
      <c r="P76" s="160" t="s">
        <v>82</v>
      </c>
      <c r="Q76" s="138" t="s">
        <v>197</v>
      </c>
      <c r="R76" s="63" t="s">
        <v>158</v>
      </c>
      <c r="S76" s="38" t="s">
        <v>178</v>
      </c>
      <c r="T76" s="29"/>
    </row>
    <row r="77" spans="2:20" ht="34.5" hidden="1" customHeight="1">
      <c r="B77" s="259">
        <v>1613</v>
      </c>
      <c r="D77" s="35">
        <v>1964.98</v>
      </c>
      <c r="F77" s="35"/>
      <c r="G77" s="100">
        <f>H77*O77</f>
        <v>29689100</v>
      </c>
      <c r="H77" s="1">
        <f>1964+1613</f>
        <v>3577</v>
      </c>
      <c r="I77" s="40">
        <f>J77*O77</f>
        <v>18426000</v>
      </c>
      <c r="J77" s="49">
        <f>H77-N77</f>
        <v>2220</v>
      </c>
      <c r="K77" s="6"/>
      <c r="L77" s="4"/>
      <c r="M77" s="191">
        <f>N77*O77</f>
        <v>11263100</v>
      </c>
      <c r="N77" s="4">
        <v>1357</v>
      </c>
      <c r="O77" s="149">
        <v>8300</v>
      </c>
      <c r="P77" s="161" t="s">
        <v>82</v>
      </c>
      <c r="Q77" s="222" t="s">
        <v>217</v>
      </c>
      <c r="R77" s="63" t="s">
        <v>158</v>
      </c>
      <c r="S77" s="38" t="s">
        <v>216</v>
      </c>
      <c r="T77" s="29"/>
    </row>
    <row r="78" spans="2:20" ht="34.5" hidden="1" customHeight="1">
      <c r="D78" s="35">
        <v>333.12</v>
      </c>
      <c r="F78" s="35"/>
      <c r="G78" s="100">
        <f>H78*O78</f>
        <v>1698300</v>
      </c>
      <c r="H78" s="1">
        <v>333</v>
      </c>
      <c r="I78" s="40">
        <f>J78*O78</f>
        <v>234600</v>
      </c>
      <c r="J78" s="49">
        <f>H78-N78</f>
        <v>46</v>
      </c>
      <c r="K78" s="6"/>
      <c r="L78" s="4"/>
      <c r="M78" s="191">
        <f>N78*O78</f>
        <v>1463700</v>
      </c>
      <c r="N78" s="4">
        <v>287</v>
      </c>
      <c r="O78" s="150">
        <v>5100</v>
      </c>
      <c r="P78" s="162" t="s">
        <v>82</v>
      </c>
      <c r="Q78" s="139" t="s">
        <v>198</v>
      </c>
      <c r="R78" s="63" t="s">
        <v>158</v>
      </c>
      <c r="S78" s="38" t="s">
        <v>179</v>
      </c>
      <c r="T78" s="29"/>
    </row>
    <row r="79" spans="2:20" ht="33.75" hidden="1" customHeight="1" thickBot="1">
      <c r="D79" s="21"/>
      <c r="F79" s="21"/>
      <c r="G79" s="395">
        <f>SUM(G75:G78)</f>
        <v>31387400</v>
      </c>
      <c r="H79" s="396"/>
      <c r="I79" s="416">
        <f>SUM(I75:I78)</f>
        <v>18660600</v>
      </c>
      <c r="J79" s="417"/>
      <c r="K79" s="8">
        <f>L79*O79</f>
        <v>0</v>
      </c>
      <c r="L79" s="15"/>
      <c r="M79" s="418">
        <f>SUM(M77:M78)</f>
        <v>12726800</v>
      </c>
      <c r="N79" s="419"/>
      <c r="O79" s="23"/>
      <c r="P79" s="8"/>
      <c r="Q79" s="134" t="s">
        <v>199</v>
      </c>
      <c r="R79" s="120" t="s">
        <v>158</v>
      </c>
      <c r="S79" s="121"/>
      <c r="T79" s="29"/>
    </row>
    <row r="80" spans="2:20" ht="25.5" hidden="1" customHeight="1" thickBot="1">
      <c r="D80" s="85"/>
      <c r="F80" s="85"/>
      <c r="G80" s="145"/>
      <c r="H80" s="136"/>
      <c r="I80" s="146"/>
      <c r="J80" s="146"/>
      <c r="K80" s="136"/>
      <c r="L80" s="136"/>
      <c r="M80" s="145" t="s">
        <v>183</v>
      </c>
      <c r="N80" s="136"/>
      <c r="O80" s="136"/>
      <c r="P80" s="136"/>
      <c r="Q80" s="86" t="s">
        <v>200</v>
      </c>
      <c r="R80" s="42"/>
      <c r="S80" s="205"/>
    </row>
    <row r="81" spans="2:19" ht="30" hidden="1" customHeight="1">
      <c r="B81" s="259" t="s">
        <v>262</v>
      </c>
      <c r="C81" s="3">
        <v>300</v>
      </c>
      <c r="D81" s="91">
        <v>184.4</v>
      </c>
      <c r="F81" s="91"/>
      <c r="G81" s="141">
        <f>H81*O81</f>
        <v>50483200</v>
      </c>
      <c r="H81" s="49">
        <f>184+300+540</f>
        <v>1024</v>
      </c>
      <c r="I81" s="40">
        <f>J81*O81</f>
        <v>39144200</v>
      </c>
      <c r="J81" s="49">
        <f>H81-N81</f>
        <v>794</v>
      </c>
      <c r="K81" s="1"/>
      <c r="L81" s="1"/>
      <c r="M81" s="243">
        <f>N81*O81</f>
        <v>11339000</v>
      </c>
      <c r="N81" s="244">
        <v>230</v>
      </c>
      <c r="O81" s="151">
        <v>49300</v>
      </c>
      <c r="P81" s="163" t="s">
        <v>82</v>
      </c>
      <c r="Q81" s="140" t="s">
        <v>201</v>
      </c>
      <c r="R81" s="63" t="s">
        <v>158</v>
      </c>
      <c r="S81" s="212">
        <v>80101</v>
      </c>
    </row>
    <row r="82" spans="2:19" ht="33" hidden="1" customHeight="1">
      <c r="C82" s="3">
        <v>30</v>
      </c>
      <c r="D82" s="20"/>
      <c r="F82" s="20"/>
      <c r="G82" s="141">
        <f t="shared" ref="G82:G91" si="14">H82*O82</f>
        <v>2082000</v>
      </c>
      <c r="H82" s="1">
        <v>30</v>
      </c>
      <c r="I82" s="40">
        <f t="shared" ref="I82:I91" si="15">J82*O82</f>
        <v>2082000</v>
      </c>
      <c r="J82" s="49">
        <f t="shared" ref="J82:J91" si="16">H82-N82</f>
        <v>30</v>
      </c>
      <c r="K82" s="6"/>
      <c r="L82" s="4"/>
      <c r="M82" s="243">
        <f t="shared" ref="M82:M91" si="17">N82*O82</f>
        <v>0</v>
      </c>
      <c r="N82" s="245"/>
      <c r="O82" s="246">
        <v>69400</v>
      </c>
      <c r="P82" s="6" t="s">
        <v>36</v>
      </c>
      <c r="Q82" s="45" t="s">
        <v>203</v>
      </c>
      <c r="R82" s="63" t="s">
        <v>158</v>
      </c>
      <c r="S82" s="38" t="s">
        <v>114</v>
      </c>
    </row>
    <row r="83" spans="2:19" ht="33" hidden="1" customHeight="1">
      <c r="C83" s="3">
        <v>100</v>
      </c>
      <c r="D83" s="20"/>
      <c r="F83" s="20"/>
      <c r="G83" s="141">
        <f t="shared" si="14"/>
        <v>9650000</v>
      </c>
      <c r="H83" s="1">
        <v>100</v>
      </c>
      <c r="I83" s="40">
        <f t="shared" si="15"/>
        <v>-59830000</v>
      </c>
      <c r="J83" s="49">
        <f t="shared" si="16"/>
        <v>-620</v>
      </c>
      <c r="K83" s="6"/>
      <c r="L83" s="4"/>
      <c r="M83" s="243">
        <f t="shared" si="17"/>
        <v>69480000</v>
      </c>
      <c r="N83" s="245">
        <v>720</v>
      </c>
      <c r="O83" s="246">
        <v>96500</v>
      </c>
      <c r="P83" s="6" t="s">
        <v>36</v>
      </c>
      <c r="Q83" s="45" t="s">
        <v>104</v>
      </c>
      <c r="R83" s="63" t="s">
        <v>158</v>
      </c>
      <c r="S83" s="38" t="s">
        <v>103</v>
      </c>
    </row>
    <row r="84" spans="2:19" ht="33" hidden="1" customHeight="1">
      <c r="C84" s="266">
        <v>600</v>
      </c>
      <c r="D84" s="20"/>
      <c r="F84" s="20"/>
      <c r="G84" s="141">
        <f t="shared" si="14"/>
        <v>53750000</v>
      </c>
      <c r="H84" s="1">
        <v>500</v>
      </c>
      <c r="I84" s="40">
        <f t="shared" si="15"/>
        <v>53750000</v>
      </c>
      <c r="J84" s="49">
        <f t="shared" si="16"/>
        <v>500</v>
      </c>
      <c r="K84" s="6"/>
      <c r="L84" s="4"/>
      <c r="M84" s="243">
        <f t="shared" si="17"/>
        <v>0</v>
      </c>
      <c r="N84" s="245"/>
      <c r="O84" s="246">
        <v>107500</v>
      </c>
      <c r="P84" s="6" t="s">
        <v>36</v>
      </c>
      <c r="Q84" s="45" t="s">
        <v>130</v>
      </c>
      <c r="R84" s="63" t="s">
        <v>158</v>
      </c>
      <c r="S84" s="38" t="s">
        <v>129</v>
      </c>
    </row>
    <row r="85" spans="2:19" ht="33" hidden="1" customHeight="1">
      <c r="C85" s="266">
        <v>470</v>
      </c>
      <c r="D85" s="20"/>
      <c r="F85" s="20"/>
      <c r="G85" s="141">
        <f t="shared" si="14"/>
        <v>42000000</v>
      </c>
      <c r="H85" s="1">
        <v>350</v>
      </c>
      <c r="I85" s="40">
        <f t="shared" si="15"/>
        <v>42000000</v>
      </c>
      <c r="J85" s="49">
        <f t="shared" si="16"/>
        <v>350</v>
      </c>
      <c r="K85" s="6"/>
      <c r="L85" s="4"/>
      <c r="M85" s="243">
        <f t="shared" si="17"/>
        <v>0</v>
      </c>
      <c r="N85" s="245"/>
      <c r="O85" s="246">
        <v>120000</v>
      </c>
      <c r="P85" s="6" t="s">
        <v>36</v>
      </c>
      <c r="Q85" s="45" t="s">
        <v>116</v>
      </c>
      <c r="R85" s="63" t="s">
        <v>158</v>
      </c>
      <c r="S85" s="38" t="s">
        <v>115</v>
      </c>
    </row>
    <row r="86" spans="2:19" ht="33" hidden="1" customHeight="1">
      <c r="D86" s="20">
        <v>1521.75</v>
      </c>
      <c r="F86" s="20"/>
      <c r="G86" s="141">
        <f t="shared" si="14"/>
        <v>238036500</v>
      </c>
      <c r="H86" s="1">
        <v>1521</v>
      </c>
      <c r="I86" s="40">
        <f t="shared" si="15"/>
        <v>-5164500</v>
      </c>
      <c r="J86" s="49">
        <f t="shared" si="16"/>
        <v>-33</v>
      </c>
      <c r="K86" s="6"/>
      <c r="L86" s="4"/>
      <c r="M86" s="243">
        <f t="shared" si="17"/>
        <v>243201000</v>
      </c>
      <c r="N86" s="245">
        <v>1554</v>
      </c>
      <c r="O86" s="246">
        <v>156500</v>
      </c>
      <c r="P86" s="6" t="s">
        <v>36</v>
      </c>
      <c r="Q86" s="45" t="s">
        <v>232</v>
      </c>
      <c r="R86" s="63" t="s">
        <v>158</v>
      </c>
      <c r="S86" s="38" t="s">
        <v>231</v>
      </c>
    </row>
    <row r="87" spans="2:19" ht="33" hidden="1" customHeight="1">
      <c r="D87" s="20"/>
      <c r="F87" s="20"/>
      <c r="G87" s="141">
        <f t="shared" si="14"/>
        <v>0</v>
      </c>
      <c r="H87" s="1"/>
      <c r="I87" s="40">
        <f t="shared" si="15"/>
        <v>0</v>
      </c>
      <c r="J87" s="49">
        <f t="shared" si="16"/>
        <v>0</v>
      </c>
      <c r="K87" s="6"/>
      <c r="L87" s="4"/>
      <c r="M87" s="243">
        <f t="shared" si="17"/>
        <v>0</v>
      </c>
      <c r="N87" s="245"/>
      <c r="O87" s="246">
        <v>37500</v>
      </c>
      <c r="P87" s="6" t="s">
        <v>36</v>
      </c>
      <c r="Q87" s="45" t="s">
        <v>147</v>
      </c>
      <c r="R87" s="63" t="s">
        <v>158</v>
      </c>
      <c r="S87" s="36" t="s">
        <v>132</v>
      </c>
    </row>
    <row r="88" spans="2:19" ht="33" hidden="1" customHeight="1">
      <c r="D88" s="20"/>
      <c r="F88" s="20"/>
      <c r="G88" s="141">
        <f t="shared" si="14"/>
        <v>0</v>
      </c>
      <c r="H88" s="1"/>
      <c r="I88" s="40">
        <f t="shared" si="15"/>
        <v>0</v>
      </c>
      <c r="J88" s="49">
        <f t="shared" si="16"/>
        <v>0</v>
      </c>
      <c r="K88" s="6"/>
      <c r="L88" s="4"/>
      <c r="M88" s="243">
        <f t="shared" si="17"/>
        <v>0</v>
      </c>
      <c r="N88" s="245"/>
      <c r="O88" s="246">
        <v>32400</v>
      </c>
      <c r="P88" s="6" t="s">
        <v>36</v>
      </c>
      <c r="Q88" s="45" t="s">
        <v>133</v>
      </c>
      <c r="R88" s="63" t="s">
        <v>158</v>
      </c>
      <c r="S88" s="36" t="s">
        <v>131</v>
      </c>
    </row>
    <row r="89" spans="2:19" ht="33" hidden="1" customHeight="1">
      <c r="D89" s="20"/>
      <c r="F89" s="20"/>
      <c r="G89" s="141">
        <f t="shared" si="14"/>
        <v>0</v>
      </c>
      <c r="H89" s="1"/>
      <c r="I89" s="40">
        <f t="shared" si="15"/>
        <v>0</v>
      </c>
      <c r="J89" s="49">
        <f t="shared" si="16"/>
        <v>0</v>
      </c>
      <c r="K89" s="6"/>
      <c r="L89" s="4"/>
      <c r="M89" s="243">
        <f t="shared" si="17"/>
        <v>0</v>
      </c>
      <c r="N89" s="245"/>
      <c r="O89" s="246">
        <v>13400</v>
      </c>
      <c r="P89" s="6" t="s">
        <v>36</v>
      </c>
      <c r="Q89" s="46" t="s">
        <v>90</v>
      </c>
      <c r="R89" s="63" t="s">
        <v>158</v>
      </c>
      <c r="S89" s="36" t="s">
        <v>88</v>
      </c>
    </row>
    <row r="90" spans="2:19" ht="33" hidden="1" customHeight="1">
      <c r="B90" s="259">
        <v>5520</v>
      </c>
      <c r="C90" s="3">
        <v>3500</v>
      </c>
      <c r="D90" s="20">
        <v>7547.5</v>
      </c>
      <c r="F90" s="20"/>
      <c r="G90" s="141">
        <f t="shared" si="14"/>
        <v>88799120</v>
      </c>
      <c r="H90" s="1">
        <f>7547+3500+5520</f>
        <v>16567</v>
      </c>
      <c r="I90" s="40">
        <f t="shared" si="15"/>
        <v>84484320</v>
      </c>
      <c r="J90" s="49">
        <f t="shared" si="16"/>
        <v>15762</v>
      </c>
      <c r="K90" s="6"/>
      <c r="L90" s="4"/>
      <c r="M90" s="243">
        <f t="shared" si="17"/>
        <v>4314800</v>
      </c>
      <c r="N90" s="245">
        <v>805</v>
      </c>
      <c r="O90" s="246">
        <v>5360</v>
      </c>
      <c r="P90" s="4" t="s">
        <v>47</v>
      </c>
      <c r="Q90" s="46" t="s">
        <v>46</v>
      </c>
      <c r="R90" s="63" t="s">
        <v>158</v>
      </c>
      <c r="S90" s="36" t="s">
        <v>45</v>
      </c>
    </row>
    <row r="91" spans="2:19" ht="33" hidden="1" customHeight="1">
      <c r="C91" s="3">
        <v>300</v>
      </c>
      <c r="D91" s="20"/>
      <c r="F91" s="20"/>
      <c r="G91" s="141">
        <f t="shared" si="14"/>
        <v>18960000</v>
      </c>
      <c r="H91" s="1">
        <v>300</v>
      </c>
      <c r="I91" s="40">
        <f t="shared" si="15"/>
        <v>18960000</v>
      </c>
      <c r="J91" s="49">
        <f t="shared" si="16"/>
        <v>300</v>
      </c>
      <c r="K91" s="6"/>
      <c r="L91" s="4"/>
      <c r="M91" s="243">
        <f t="shared" si="17"/>
        <v>0</v>
      </c>
      <c r="N91" s="245"/>
      <c r="O91" s="246">
        <v>63200</v>
      </c>
      <c r="P91" s="6" t="s">
        <v>36</v>
      </c>
      <c r="Q91" s="46" t="s">
        <v>87</v>
      </c>
      <c r="R91" s="63" t="s">
        <v>158</v>
      </c>
      <c r="S91" s="36" t="s">
        <v>89</v>
      </c>
    </row>
    <row r="92" spans="2:19" ht="33" hidden="1" customHeight="1" thickBot="1">
      <c r="D92" s="142"/>
      <c r="F92" s="142"/>
      <c r="G92" s="412">
        <f>SUM(G81:G91)</f>
        <v>503760820</v>
      </c>
      <c r="H92" s="413"/>
      <c r="I92" s="399">
        <f>SUM(I81:I91)</f>
        <v>175426020</v>
      </c>
      <c r="J92" s="399"/>
      <c r="K92" s="411">
        <f>SUM(K80:K91)</f>
        <v>0</v>
      </c>
      <c r="L92" s="411"/>
      <c r="M92" s="411">
        <f>SUM(M81:M91)</f>
        <v>328334800</v>
      </c>
      <c r="N92" s="411"/>
      <c r="O92" s="133"/>
      <c r="P92" s="132"/>
      <c r="Q92" s="132" t="s">
        <v>6</v>
      </c>
      <c r="R92" s="8"/>
      <c r="S92" s="209"/>
    </row>
    <row r="93" spans="2:19" ht="49.5" hidden="1" customHeight="1" thickBot="1">
      <c r="D93" s="13"/>
      <c r="F93" s="13"/>
      <c r="G93" s="99"/>
      <c r="H93" s="37"/>
      <c r="I93" s="50"/>
      <c r="J93" s="50"/>
      <c r="K93" s="37"/>
      <c r="L93" s="37"/>
      <c r="M93" s="99"/>
      <c r="N93" s="37"/>
      <c r="O93" s="24"/>
      <c r="P93" s="9"/>
      <c r="Q93" s="9"/>
      <c r="R93" s="70"/>
      <c r="S93" s="208"/>
    </row>
    <row r="94" spans="2:19" ht="25.5" hidden="1" customHeight="1">
      <c r="D94" s="77"/>
      <c r="F94" s="173"/>
      <c r="G94" s="382" t="s">
        <v>300</v>
      </c>
      <c r="H94" s="382"/>
      <c r="I94" s="382" t="s">
        <v>145</v>
      </c>
      <c r="J94" s="382"/>
      <c r="K94" s="78"/>
      <c r="L94" s="78"/>
      <c r="M94" s="199"/>
      <c r="N94" s="78"/>
      <c r="O94" s="79"/>
      <c r="P94" s="78"/>
      <c r="Q94" s="80" t="s">
        <v>171</v>
      </c>
      <c r="R94" s="41"/>
      <c r="S94" s="219"/>
    </row>
    <row r="95" spans="2:19" ht="25.5" hidden="1" customHeight="1">
      <c r="D95" s="81"/>
      <c r="F95" s="174"/>
      <c r="G95" s="96"/>
      <c r="H95" s="82"/>
      <c r="I95" s="83"/>
      <c r="J95" s="143" t="s">
        <v>146</v>
      </c>
      <c r="K95" s="144"/>
      <c r="L95" s="144"/>
      <c r="M95" s="200"/>
      <c r="N95" s="144"/>
      <c r="O95" s="135"/>
      <c r="P95" s="144"/>
      <c r="Q95" s="84" t="s">
        <v>292</v>
      </c>
      <c r="R95" s="56"/>
      <c r="S95" s="175"/>
    </row>
    <row r="96" spans="2:19" ht="25.5" hidden="1" customHeight="1" thickBot="1">
      <c r="D96" s="85"/>
      <c r="F96" s="85"/>
      <c r="G96" s="145"/>
      <c r="H96" s="136"/>
      <c r="I96" s="146"/>
      <c r="J96" s="146"/>
      <c r="K96" s="136"/>
      <c r="L96" s="136"/>
      <c r="M96" s="145" t="s">
        <v>183</v>
      </c>
      <c r="N96" s="136"/>
      <c r="O96" s="136"/>
      <c r="P96" s="136"/>
      <c r="Q96" s="86" t="s">
        <v>202</v>
      </c>
      <c r="R96" s="42"/>
      <c r="S96" s="205"/>
    </row>
    <row r="97" spans="2:20" ht="30" hidden="1" customHeight="1">
      <c r="D97" s="385" t="s">
        <v>144</v>
      </c>
      <c r="F97" s="385"/>
      <c r="G97" s="406" t="s">
        <v>63</v>
      </c>
      <c r="H97" s="406"/>
      <c r="I97" s="409" t="s">
        <v>170</v>
      </c>
      <c r="J97" s="409"/>
      <c r="K97" s="401" t="s">
        <v>2</v>
      </c>
      <c r="L97" s="401"/>
      <c r="M97" s="401" t="s">
        <v>169</v>
      </c>
      <c r="N97" s="401"/>
      <c r="O97" s="426" t="s">
        <v>139</v>
      </c>
      <c r="P97" s="401" t="s">
        <v>1</v>
      </c>
      <c r="Q97" s="401" t="s">
        <v>138</v>
      </c>
      <c r="R97" s="63"/>
      <c r="S97" s="424" t="s">
        <v>0</v>
      </c>
    </row>
    <row r="98" spans="2:20" ht="30" hidden="1" customHeight="1">
      <c r="D98" s="386"/>
      <c r="F98" s="386"/>
      <c r="G98" s="97" t="s">
        <v>143</v>
      </c>
      <c r="H98" s="49" t="s">
        <v>142</v>
      </c>
      <c r="I98" s="49" t="s">
        <v>143</v>
      </c>
      <c r="J98" s="49" t="s">
        <v>142</v>
      </c>
      <c r="K98" s="1" t="s">
        <v>4</v>
      </c>
      <c r="L98" s="1" t="s">
        <v>3</v>
      </c>
      <c r="M98" s="100" t="s">
        <v>141</v>
      </c>
      <c r="N98" s="1" t="s">
        <v>140</v>
      </c>
      <c r="O98" s="427"/>
      <c r="P98" s="422"/>
      <c r="Q98" s="422"/>
      <c r="R98" s="63"/>
      <c r="S98" s="425"/>
    </row>
    <row r="99" spans="2:20" ht="31.5" hidden="1" customHeight="1">
      <c r="D99" s="20">
        <v>7265</v>
      </c>
      <c r="F99" s="20"/>
      <c r="G99" s="100">
        <f>H99*O99</f>
        <v>58410600</v>
      </c>
      <c r="H99" s="1">
        <v>7265</v>
      </c>
      <c r="I99" s="40">
        <f>J99*O99</f>
        <v>3770760</v>
      </c>
      <c r="J99" s="49">
        <f>H99-N99</f>
        <v>469</v>
      </c>
      <c r="K99" s="4"/>
      <c r="L99" s="4"/>
      <c r="M99" s="191">
        <f>N99*O99</f>
        <v>54639840</v>
      </c>
      <c r="N99" s="4">
        <v>6796</v>
      </c>
      <c r="O99" s="22">
        <v>8040</v>
      </c>
      <c r="P99" s="4" t="s">
        <v>48</v>
      </c>
      <c r="Q99" s="6" t="s">
        <v>94</v>
      </c>
      <c r="R99" s="63" t="s">
        <v>158</v>
      </c>
      <c r="S99" s="36" t="s">
        <v>91</v>
      </c>
    </row>
    <row r="100" spans="2:20" ht="31.5" hidden="1" customHeight="1">
      <c r="D100" s="20">
        <v>53957.8</v>
      </c>
      <c r="F100" s="20"/>
      <c r="G100" s="100">
        <f>H100*O100</f>
        <v>349637805.00666648</v>
      </c>
      <c r="H100" s="267">
        <v>54974.497642557624</v>
      </c>
      <c r="I100" s="40">
        <f>J100*O100</f>
        <v>17779365.006666489</v>
      </c>
      <c r="J100" s="49">
        <f>H100-N100</f>
        <v>2795.4976425576242</v>
      </c>
      <c r="K100" s="4"/>
      <c r="L100" s="4"/>
      <c r="M100" s="191">
        <f>N100*O100</f>
        <v>331858440</v>
      </c>
      <c r="N100" s="4">
        <v>52179</v>
      </c>
      <c r="O100" s="22">
        <v>6360</v>
      </c>
      <c r="P100" s="4" t="s">
        <v>48</v>
      </c>
      <c r="Q100" s="6" t="s">
        <v>95</v>
      </c>
      <c r="R100" s="63" t="s">
        <v>158</v>
      </c>
      <c r="S100" s="36" t="s">
        <v>92</v>
      </c>
    </row>
    <row r="101" spans="2:20" ht="31.5" hidden="1" customHeight="1">
      <c r="B101" s="259" t="s">
        <v>263</v>
      </c>
      <c r="D101" s="20">
        <v>27030.59</v>
      </c>
      <c r="F101" s="20"/>
      <c r="G101" s="100">
        <f>H101*O101</f>
        <v>171782280</v>
      </c>
      <c r="H101" s="223">
        <v>28069</v>
      </c>
      <c r="I101" s="40">
        <f>J101*O101</f>
        <v>171782280</v>
      </c>
      <c r="J101" s="49">
        <f>H101-N101</f>
        <v>28069</v>
      </c>
      <c r="K101" s="4"/>
      <c r="L101" s="4"/>
      <c r="M101" s="191">
        <f>N101*O101</f>
        <v>0</v>
      </c>
      <c r="N101" s="4"/>
      <c r="O101" s="22">
        <v>6120</v>
      </c>
      <c r="P101" s="4" t="s">
        <v>48</v>
      </c>
      <c r="Q101" s="4" t="s">
        <v>96</v>
      </c>
      <c r="R101" s="63" t="s">
        <v>158</v>
      </c>
      <c r="S101" s="36" t="s">
        <v>93</v>
      </c>
    </row>
    <row r="102" spans="2:20" ht="31.5" hidden="1" customHeight="1">
      <c r="D102" s="20"/>
      <c r="F102" s="20"/>
      <c r="G102" s="100">
        <f>H102*O102</f>
        <v>0</v>
      </c>
      <c r="H102" s="1"/>
      <c r="I102" s="40">
        <f>J102*O102</f>
        <v>0</v>
      </c>
      <c r="J102" s="49">
        <f>H102-N102</f>
        <v>0</v>
      </c>
      <c r="K102" s="4"/>
      <c r="L102" s="4"/>
      <c r="M102" s="191">
        <f>N102*O102</f>
        <v>0</v>
      </c>
      <c r="N102" s="4"/>
      <c r="O102" s="22">
        <v>325</v>
      </c>
      <c r="P102" s="4" t="s">
        <v>48</v>
      </c>
      <c r="Q102" s="4" t="s">
        <v>118</v>
      </c>
      <c r="R102" s="63" t="s">
        <v>158</v>
      </c>
      <c r="S102" s="36" t="s">
        <v>117</v>
      </c>
    </row>
    <row r="103" spans="2:20" ht="31.5" hidden="1" customHeight="1">
      <c r="D103" s="20"/>
      <c r="F103" s="20"/>
      <c r="G103" s="100">
        <f>H103*O103</f>
        <v>0</v>
      </c>
      <c r="H103" s="1"/>
      <c r="I103" s="40">
        <f>J103*O103</f>
        <v>0</v>
      </c>
      <c r="J103" s="49">
        <f>H103-N103</f>
        <v>0</v>
      </c>
      <c r="K103" s="4"/>
      <c r="L103" s="4"/>
      <c r="M103" s="191">
        <f>N103*O103</f>
        <v>0</v>
      </c>
      <c r="N103" s="4"/>
      <c r="O103" s="22">
        <v>12600</v>
      </c>
      <c r="P103" s="4" t="s">
        <v>48</v>
      </c>
      <c r="Q103" s="45" t="s">
        <v>135</v>
      </c>
      <c r="R103" s="63" t="s">
        <v>158</v>
      </c>
      <c r="S103" s="36" t="s">
        <v>134</v>
      </c>
    </row>
    <row r="104" spans="2:20" ht="31.5" hidden="1" customHeight="1" thickBot="1">
      <c r="D104" s="57"/>
      <c r="F104" s="57"/>
      <c r="G104" s="414">
        <f>SUM(G99:G103)</f>
        <v>579830685.00666642</v>
      </c>
      <c r="H104" s="415"/>
      <c r="I104" s="430">
        <f>SUM(I99:I103)</f>
        <v>193332405.00666648</v>
      </c>
      <c r="J104" s="430"/>
      <c r="K104" s="423">
        <f>SUM(K99:K103)</f>
        <v>0</v>
      </c>
      <c r="L104" s="423"/>
      <c r="M104" s="423">
        <f>SUM(M99:M103)</f>
        <v>386498280</v>
      </c>
      <c r="N104" s="423"/>
      <c r="O104" s="423"/>
      <c r="P104" s="423"/>
      <c r="Q104" s="164" t="s">
        <v>7</v>
      </c>
      <c r="R104" s="165"/>
      <c r="S104" s="213"/>
    </row>
    <row r="105" spans="2:20" ht="27.75" hidden="1" customHeight="1">
      <c r="D105" s="186"/>
      <c r="F105" s="186"/>
      <c r="G105" s="187"/>
      <c r="H105" s="188"/>
      <c r="I105" s="189"/>
      <c r="J105" s="189"/>
      <c r="K105" s="188"/>
      <c r="L105" s="188"/>
      <c r="M105" s="201" t="s">
        <v>183</v>
      </c>
      <c r="N105" s="188"/>
      <c r="O105" s="190"/>
      <c r="P105" s="188"/>
      <c r="Q105" s="188" t="s">
        <v>8</v>
      </c>
      <c r="R105" s="188"/>
      <c r="S105" s="215"/>
    </row>
    <row r="106" spans="2:20" ht="28.5" hidden="1" customHeight="1">
      <c r="D106" s="5">
        <v>650</v>
      </c>
      <c r="F106" s="5"/>
      <c r="G106" s="191">
        <f>H106*O106</f>
        <v>11505000</v>
      </c>
      <c r="H106" s="1">
        <v>650</v>
      </c>
      <c r="I106" s="40">
        <f>J106*O106</f>
        <v>11505000</v>
      </c>
      <c r="J106" s="49">
        <f>H106-N106</f>
        <v>650</v>
      </c>
      <c r="K106" s="6"/>
      <c r="L106" s="4"/>
      <c r="M106" s="191"/>
      <c r="N106" s="4"/>
      <c r="O106" s="22">
        <v>17700</v>
      </c>
      <c r="P106" s="6" t="s">
        <v>48</v>
      </c>
      <c r="Q106" s="45" t="s">
        <v>250</v>
      </c>
      <c r="R106" s="6" t="s">
        <v>158</v>
      </c>
      <c r="S106" s="34" t="s">
        <v>249</v>
      </c>
    </row>
    <row r="107" spans="2:20" ht="28.5" hidden="1" customHeight="1">
      <c r="D107" s="5"/>
      <c r="F107" s="5"/>
      <c r="G107" s="191">
        <f>H107*O107</f>
        <v>0</v>
      </c>
      <c r="H107" s="1"/>
      <c r="I107" s="40">
        <f>J107*O107</f>
        <v>0</v>
      </c>
      <c r="J107" s="49">
        <f>H107-N107</f>
        <v>0</v>
      </c>
      <c r="K107" s="6"/>
      <c r="L107" s="4"/>
      <c r="M107" s="191"/>
      <c r="N107" s="4"/>
      <c r="O107" s="22">
        <v>12500</v>
      </c>
      <c r="P107" s="6" t="s">
        <v>48</v>
      </c>
      <c r="Q107" s="45" t="s">
        <v>119</v>
      </c>
      <c r="R107" s="6" t="s">
        <v>158</v>
      </c>
      <c r="S107" s="207">
        <v>110301</v>
      </c>
      <c r="T107" s="27"/>
    </row>
    <row r="108" spans="2:20" ht="28.5" hidden="1" customHeight="1" thickBot="1">
      <c r="D108" s="185">
        <v>1220</v>
      </c>
      <c r="F108" s="185"/>
      <c r="G108" s="191">
        <f>H108*O108</f>
        <v>54900000</v>
      </c>
      <c r="H108" s="43">
        <v>1220</v>
      </c>
      <c r="I108" s="40">
        <f>J108*O108</f>
        <v>900000</v>
      </c>
      <c r="J108" s="49">
        <f>H108-N108</f>
        <v>20</v>
      </c>
      <c r="K108" s="8"/>
      <c r="L108" s="15"/>
      <c r="M108" s="197">
        <f>N108*O108</f>
        <v>54000000</v>
      </c>
      <c r="N108" s="15">
        <v>1200</v>
      </c>
      <c r="O108" s="23">
        <v>45000</v>
      </c>
      <c r="P108" s="8" t="s">
        <v>48</v>
      </c>
      <c r="Q108" s="198" t="s">
        <v>233</v>
      </c>
      <c r="R108" s="8" t="s">
        <v>159</v>
      </c>
      <c r="S108" s="209">
        <v>110304</v>
      </c>
      <c r="T108" s="27"/>
    </row>
    <row r="109" spans="2:20" ht="28.5" hidden="1" customHeight="1" thickBot="1">
      <c r="D109" s="193"/>
      <c r="F109" s="193"/>
      <c r="G109" s="404">
        <f>SUM(G106:G108)</f>
        <v>66405000</v>
      </c>
      <c r="H109" s="405"/>
      <c r="I109" s="410">
        <f>SUM(I106:I108)</f>
        <v>12405000</v>
      </c>
      <c r="J109" s="410"/>
      <c r="K109" s="431">
        <f>SUM(K106:K108)</f>
        <v>0</v>
      </c>
      <c r="L109" s="431"/>
      <c r="M109" s="431">
        <f>SUM(M106:M108)</f>
        <v>54000000</v>
      </c>
      <c r="N109" s="431"/>
      <c r="O109" s="195"/>
      <c r="P109" s="194"/>
      <c r="Q109" s="194" t="s">
        <v>10</v>
      </c>
      <c r="R109" s="196"/>
      <c r="S109" s="216"/>
    </row>
    <row r="110" spans="2:20" ht="49.5" hidden="1" customHeight="1" thickBot="1">
      <c r="G110" s="101"/>
      <c r="H110" s="17"/>
      <c r="I110" s="52"/>
      <c r="J110" s="52"/>
      <c r="K110" s="17"/>
      <c r="L110" s="17"/>
      <c r="M110" s="101"/>
      <c r="N110" s="17"/>
      <c r="O110" s="24"/>
      <c r="P110" s="17"/>
      <c r="Q110" s="18"/>
      <c r="R110" s="18"/>
      <c r="S110" s="210"/>
    </row>
    <row r="111" spans="2:20" ht="25.5" hidden="1" customHeight="1">
      <c r="D111" s="77"/>
      <c r="F111" s="173"/>
      <c r="G111" s="382" t="s">
        <v>300</v>
      </c>
      <c r="H111" s="382"/>
      <c r="I111" s="382" t="s">
        <v>145</v>
      </c>
      <c r="J111" s="382"/>
      <c r="K111" s="78"/>
      <c r="L111" s="78"/>
      <c r="M111" s="199"/>
      <c r="N111" s="78"/>
      <c r="O111" s="79"/>
      <c r="P111" s="78"/>
      <c r="Q111" s="80" t="s">
        <v>171</v>
      </c>
      <c r="R111" s="41"/>
      <c r="S111" s="219"/>
    </row>
    <row r="112" spans="2:20" ht="25.5" hidden="1" customHeight="1">
      <c r="D112" s="81"/>
      <c r="F112" s="174"/>
      <c r="G112" s="96"/>
      <c r="H112" s="82"/>
      <c r="I112" s="83"/>
      <c r="J112" s="143" t="s">
        <v>146</v>
      </c>
      <c r="K112" s="144"/>
      <c r="L112" s="144"/>
      <c r="M112" s="200"/>
      <c r="N112" s="144"/>
      <c r="O112" s="135"/>
      <c r="P112" s="144"/>
      <c r="Q112" s="84" t="s">
        <v>292</v>
      </c>
      <c r="R112" s="56"/>
      <c r="S112" s="175"/>
    </row>
    <row r="113" spans="2:19" ht="25.5" hidden="1" customHeight="1" thickBot="1">
      <c r="D113" s="85"/>
      <c r="F113" s="85"/>
      <c r="G113" s="145"/>
      <c r="H113" s="136"/>
      <c r="I113" s="146"/>
      <c r="J113" s="146"/>
      <c r="K113" s="136"/>
      <c r="L113" s="136"/>
      <c r="M113" s="202" t="s">
        <v>183</v>
      </c>
      <c r="N113" s="136"/>
      <c r="O113" s="136"/>
      <c r="P113" s="136"/>
      <c r="Q113" s="86" t="s">
        <v>206</v>
      </c>
      <c r="R113" s="42"/>
      <c r="S113" s="205"/>
    </row>
    <row r="114" spans="2:19" ht="30" hidden="1" customHeight="1">
      <c r="D114" s="385" t="s">
        <v>144</v>
      </c>
      <c r="F114" s="385" t="s">
        <v>144</v>
      </c>
      <c r="G114" s="406" t="s">
        <v>63</v>
      </c>
      <c r="H114" s="406"/>
      <c r="I114" s="409" t="s">
        <v>170</v>
      </c>
      <c r="J114" s="409"/>
      <c r="K114" s="401" t="s">
        <v>2</v>
      </c>
      <c r="L114" s="401"/>
      <c r="M114" s="401" t="s">
        <v>169</v>
      </c>
      <c r="N114" s="401"/>
      <c r="O114" s="426" t="s">
        <v>139</v>
      </c>
      <c r="P114" s="401" t="s">
        <v>1</v>
      </c>
      <c r="Q114" s="401" t="s">
        <v>138</v>
      </c>
      <c r="R114" s="62"/>
      <c r="S114" s="424" t="s">
        <v>0</v>
      </c>
    </row>
    <row r="115" spans="2:19" ht="30" hidden="1" customHeight="1">
      <c r="D115" s="386"/>
      <c r="F115" s="386"/>
      <c r="G115" s="97" t="s">
        <v>143</v>
      </c>
      <c r="H115" s="49" t="s">
        <v>142</v>
      </c>
      <c r="I115" s="49" t="s">
        <v>143</v>
      </c>
      <c r="J115" s="49" t="s">
        <v>142</v>
      </c>
      <c r="K115" s="1" t="s">
        <v>4</v>
      </c>
      <c r="L115" s="1" t="s">
        <v>3</v>
      </c>
      <c r="M115" s="100" t="s">
        <v>141</v>
      </c>
      <c r="N115" s="1" t="s">
        <v>140</v>
      </c>
      <c r="O115" s="427"/>
      <c r="P115" s="422"/>
      <c r="Q115" s="422"/>
      <c r="R115" s="2"/>
      <c r="S115" s="425"/>
    </row>
    <row r="116" spans="2:19" ht="30" hidden="1" customHeight="1">
      <c r="D116" s="55"/>
      <c r="F116" s="55"/>
      <c r="G116" s="100">
        <f>H116*O116</f>
        <v>0</v>
      </c>
      <c r="H116" s="49"/>
      <c r="I116" s="40">
        <f>J116*O116</f>
        <v>0</v>
      </c>
      <c r="J116" s="49">
        <f>H116-N116</f>
        <v>0</v>
      </c>
      <c r="K116" s="1"/>
      <c r="L116" s="1"/>
      <c r="M116" s="191">
        <f>N116*O116</f>
        <v>0</v>
      </c>
      <c r="N116" s="1"/>
      <c r="O116" s="22">
        <v>220000</v>
      </c>
      <c r="P116" s="6" t="s">
        <v>35</v>
      </c>
      <c r="Q116" s="45" t="s">
        <v>219</v>
      </c>
      <c r="R116" s="2"/>
      <c r="S116" s="34" t="s">
        <v>218</v>
      </c>
    </row>
    <row r="117" spans="2:19" ht="39" hidden="1" customHeight="1">
      <c r="D117" s="20"/>
      <c r="F117" s="20"/>
      <c r="G117" s="100">
        <f t="shared" ref="G117:G132" si="18">H117*O117</f>
        <v>0</v>
      </c>
      <c r="H117" s="1"/>
      <c r="I117" s="40">
        <f t="shared" ref="I117:I132" si="19">J117*O117</f>
        <v>0</v>
      </c>
      <c r="J117" s="49">
        <f t="shared" ref="J117:J132" si="20">H117-N117</f>
        <v>0</v>
      </c>
      <c r="K117" s="6"/>
      <c r="L117" s="6"/>
      <c r="M117" s="191">
        <f t="shared" ref="M117:M132" si="21">N117*O117</f>
        <v>0</v>
      </c>
      <c r="N117" s="6"/>
      <c r="O117" s="22">
        <v>249500</v>
      </c>
      <c r="P117" s="6" t="s">
        <v>35</v>
      </c>
      <c r="Q117" s="45" t="s">
        <v>182</v>
      </c>
      <c r="R117" s="66" t="s">
        <v>158</v>
      </c>
      <c r="S117" s="34">
        <v>120103</v>
      </c>
    </row>
    <row r="118" spans="2:19" ht="39" hidden="1" customHeight="1">
      <c r="B118" s="259">
        <v>893</v>
      </c>
      <c r="C118" s="3">
        <v>2150</v>
      </c>
      <c r="D118" s="20">
        <v>416.5</v>
      </c>
      <c r="F118" s="20"/>
      <c r="G118" s="100">
        <f t="shared" si="18"/>
        <v>970249500</v>
      </c>
      <c r="H118" s="1">
        <f>416+2150+893</f>
        <v>3459</v>
      </c>
      <c r="I118" s="40">
        <f t="shared" si="19"/>
        <v>754264500</v>
      </c>
      <c r="J118" s="49">
        <f t="shared" si="20"/>
        <v>2689</v>
      </c>
      <c r="K118" s="6"/>
      <c r="L118" s="6"/>
      <c r="M118" s="191">
        <f t="shared" si="21"/>
        <v>215985000</v>
      </c>
      <c r="N118" s="6">
        <v>770</v>
      </c>
      <c r="O118" s="22">
        <v>280500</v>
      </c>
      <c r="P118" s="6" t="s">
        <v>35</v>
      </c>
      <c r="Q118" s="46" t="s">
        <v>120</v>
      </c>
      <c r="R118" s="66" t="s">
        <v>158</v>
      </c>
      <c r="S118" s="34">
        <v>120104</v>
      </c>
    </row>
    <row r="119" spans="2:19" ht="39" hidden="1" customHeight="1">
      <c r="D119" s="20">
        <v>92.36</v>
      </c>
      <c r="F119" s="20"/>
      <c r="G119" s="100">
        <f t="shared" si="18"/>
        <v>31096000</v>
      </c>
      <c r="H119" s="1">
        <v>92</v>
      </c>
      <c r="I119" s="40">
        <f t="shared" si="19"/>
        <v>0</v>
      </c>
      <c r="J119" s="49">
        <f t="shared" si="20"/>
        <v>0</v>
      </c>
      <c r="K119" s="6"/>
      <c r="L119" s="6"/>
      <c r="M119" s="191">
        <f t="shared" si="21"/>
        <v>31096000</v>
      </c>
      <c r="N119" s="4">
        <v>92</v>
      </c>
      <c r="O119" s="22">
        <v>338000</v>
      </c>
      <c r="P119" s="6" t="s">
        <v>35</v>
      </c>
      <c r="Q119" s="46" t="s">
        <v>51</v>
      </c>
      <c r="R119" s="66" t="s">
        <v>158</v>
      </c>
      <c r="S119" s="207" t="s">
        <v>49</v>
      </c>
    </row>
    <row r="120" spans="2:19" ht="39" hidden="1" customHeight="1">
      <c r="D120" s="20">
        <v>708.39</v>
      </c>
      <c r="F120" s="20"/>
      <c r="G120" s="100">
        <f t="shared" si="18"/>
        <v>258774000</v>
      </c>
      <c r="H120" s="1">
        <v>708</v>
      </c>
      <c r="I120" s="40">
        <f t="shared" si="19"/>
        <v>-17909500</v>
      </c>
      <c r="J120" s="49">
        <f t="shared" si="20"/>
        <v>-49</v>
      </c>
      <c r="K120" s="6"/>
      <c r="L120" s="6"/>
      <c r="M120" s="191">
        <f t="shared" si="21"/>
        <v>276683500</v>
      </c>
      <c r="N120" s="4">
        <v>757</v>
      </c>
      <c r="O120" s="22">
        <v>365500</v>
      </c>
      <c r="P120" s="6" t="s">
        <v>35</v>
      </c>
      <c r="Q120" s="46" t="s">
        <v>160</v>
      </c>
      <c r="R120" s="66" t="s">
        <v>158</v>
      </c>
      <c r="S120" s="207">
        <v>120107</v>
      </c>
    </row>
    <row r="121" spans="2:19" ht="39" hidden="1" customHeight="1">
      <c r="D121" s="20"/>
      <c r="F121" s="20"/>
      <c r="G121" s="100">
        <f t="shared" si="18"/>
        <v>0</v>
      </c>
      <c r="H121" s="1"/>
      <c r="I121" s="40">
        <f t="shared" si="19"/>
        <v>0</v>
      </c>
      <c r="J121" s="49">
        <f t="shared" si="20"/>
        <v>0</v>
      </c>
      <c r="K121" s="6"/>
      <c r="L121" s="6"/>
      <c r="M121" s="191">
        <f t="shared" si="21"/>
        <v>0</v>
      </c>
      <c r="N121" s="4"/>
      <c r="O121" s="22">
        <v>25400</v>
      </c>
      <c r="P121" s="6" t="s">
        <v>35</v>
      </c>
      <c r="Q121" s="46" t="s">
        <v>161</v>
      </c>
      <c r="R121" s="66" t="s">
        <v>158</v>
      </c>
      <c r="S121" s="207">
        <v>120110</v>
      </c>
    </row>
    <row r="122" spans="2:19" ht="39" hidden="1" customHeight="1">
      <c r="C122" s="3">
        <v>1800</v>
      </c>
      <c r="D122" s="20">
        <v>118.37</v>
      </c>
      <c r="F122" s="20"/>
      <c r="G122" s="100">
        <f t="shared" si="18"/>
        <v>37796000</v>
      </c>
      <c r="H122" s="1">
        <f>118+1600</f>
        <v>1718</v>
      </c>
      <c r="I122" s="40">
        <f t="shared" si="19"/>
        <v>18832000</v>
      </c>
      <c r="J122" s="49">
        <f t="shared" si="20"/>
        <v>856</v>
      </c>
      <c r="K122" s="6"/>
      <c r="L122" s="6"/>
      <c r="M122" s="191">
        <f t="shared" si="21"/>
        <v>18964000</v>
      </c>
      <c r="N122" s="4">
        <v>862</v>
      </c>
      <c r="O122" s="22">
        <v>22000</v>
      </c>
      <c r="P122" s="6" t="s">
        <v>35</v>
      </c>
      <c r="Q122" s="46" t="s">
        <v>121</v>
      </c>
      <c r="R122" s="66" t="s">
        <v>158</v>
      </c>
      <c r="S122" s="207">
        <v>120302</v>
      </c>
    </row>
    <row r="123" spans="2:19" ht="39" hidden="1" customHeight="1">
      <c r="C123" s="3">
        <f>2300-1800</f>
        <v>500</v>
      </c>
      <c r="D123" s="20">
        <v>709.89</v>
      </c>
      <c r="F123" s="20"/>
      <c r="G123" s="100">
        <f t="shared" si="18"/>
        <v>45469000</v>
      </c>
      <c r="H123" s="1">
        <f>709+400</f>
        <v>1109</v>
      </c>
      <c r="I123" s="40">
        <f t="shared" si="19"/>
        <v>14432000</v>
      </c>
      <c r="J123" s="49">
        <f t="shared" si="20"/>
        <v>352</v>
      </c>
      <c r="K123" s="6"/>
      <c r="L123" s="6"/>
      <c r="M123" s="191">
        <f t="shared" si="21"/>
        <v>31037000</v>
      </c>
      <c r="N123" s="4">
        <v>757</v>
      </c>
      <c r="O123" s="22">
        <v>41000</v>
      </c>
      <c r="P123" s="6" t="s">
        <v>35</v>
      </c>
      <c r="Q123" s="46" t="s">
        <v>122</v>
      </c>
      <c r="R123" s="66" t="s">
        <v>158</v>
      </c>
      <c r="S123" s="207">
        <v>120303</v>
      </c>
    </row>
    <row r="124" spans="2:19" ht="39" hidden="1" customHeight="1">
      <c r="D124" s="20"/>
      <c r="F124" s="20"/>
      <c r="G124" s="100">
        <f t="shared" si="18"/>
        <v>0</v>
      </c>
      <c r="H124" s="1"/>
      <c r="I124" s="40">
        <f t="shared" si="19"/>
        <v>0</v>
      </c>
      <c r="J124" s="49">
        <f t="shared" si="20"/>
        <v>0</v>
      </c>
      <c r="K124" s="6"/>
      <c r="L124" s="6"/>
      <c r="M124" s="191">
        <f t="shared" si="21"/>
        <v>0</v>
      </c>
      <c r="N124" s="4"/>
      <c r="O124" s="108">
        <v>29300</v>
      </c>
      <c r="P124" s="6" t="s">
        <v>35</v>
      </c>
      <c r="Q124" s="46" t="s">
        <v>123</v>
      </c>
      <c r="R124" s="66" t="s">
        <v>158</v>
      </c>
      <c r="S124" s="207">
        <v>120305</v>
      </c>
    </row>
    <row r="125" spans="2:19" ht="39" hidden="1" customHeight="1">
      <c r="D125" s="20"/>
      <c r="F125" s="20"/>
      <c r="G125" s="100">
        <f t="shared" si="18"/>
        <v>0</v>
      </c>
      <c r="H125" s="1"/>
      <c r="I125" s="40">
        <f t="shared" si="19"/>
        <v>0</v>
      </c>
      <c r="J125" s="49">
        <f t="shared" si="20"/>
        <v>0</v>
      </c>
      <c r="K125" s="6"/>
      <c r="L125" s="6"/>
      <c r="M125" s="191">
        <f t="shared" si="21"/>
        <v>0</v>
      </c>
      <c r="N125" s="4"/>
      <c r="O125" s="22">
        <v>26400</v>
      </c>
      <c r="P125" s="6" t="s">
        <v>35</v>
      </c>
      <c r="Q125" s="46" t="s">
        <v>124</v>
      </c>
      <c r="R125" s="66" t="s">
        <v>158</v>
      </c>
      <c r="S125" s="207">
        <v>120307</v>
      </c>
    </row>
    <row r="126" spans="2:19" ht="39" hidden="1" customHeight="1">
      <c r="D126" s="20">
        <v>800.75</v>
      </c>
      <c r="F126" s="20"/>
      <c r="G126" s="100">
        <f t="shared" si="18"/>
        <v>4416000</v>
      </c>
      <c r="H126" s="203">
        <v>800</v>
      </c>
      <c r="I126" s="40">
        <f t="shared" si="19"/>
        <v>-270480</v>
      </c>
      <c r="J126" s="49">
        <f t="shared" si="20"/>
        <v>-49</v>
      </c>
      <c r="K126" s="6"/>
      <c r="L126" s="6"/>
      <c r="M126" s="191">
        <f t="shared" si="21"/>
        <v>4686480</v>
      </c>
      <c r="N126" s="4">
        <v>849</v>
      </c>
      <c r="O126" s="22">
        <v>5520</v>
      </c>
      <c r="P126" s="6" t="s">
        <v>35</v>
      </c>
      <c r="Q126" s="46" t="s">
        <v>52</v>
      </c>
      <c r="R126" s="66" t="s">
        <v>158</v>
      </c>
      <c r="S126" s="207" t="s">
        <v>50</v>
      </c>
    </row>
    <row r="127" spans="2:19" ht="39" hidden="1" customHeight="1">
      <c r="B127" s="259" t="s">
        <v>270</v>
      </c>
      <c r="C127" s="3" t="s">
        <v>296</v>
      </c>
      <c r="D127" s="110"/>
      <c r="F127" s="110"/>
      <c r="G127" s="100">
        <f t="shared" si="18"/>
        <v>12172000</v>
      </c>
      <c r="H127" s="1">
        <f>2150*250+223250</f>
        <v>760750</v>
      </c>
      <c r="I127" s="40">
        <f t="shared" si="19"/>
        <v>12172000</v>
      </c>
      <c r="J127" s="49">
        <f t="shared" si="20"/>
        <v>760750</v>
      </c>
      <c r="K127" s="6"/>
      <c r="L127" s="6"/>
      <c r="M127" s="191">
        <f t="shared" si="21"/>
        <v>0</v>
      </c>
      <c r="N127" s="4"/>
      <c r="O127" s="22">
        <v>16</v>
      </c>
      <c r="P127" s="6" t="s">
        <v>48</v>
      </c>
      <c r="Q127" s="46" t="s">
        <v>162</v>
      </c>
      <c r="R127" s="66" t="s">
        <v>158</v>
      </c>
      <c r="S127" s="207">
        <v>120701</v>
      </c>
    </row>
    <row r="128" spans="2:19" ht="39" hidden="1" customHeight="1">
      <c r="D128" s="110">
        <v>413319.5</v>
      </c>
      <c r="F128" s="110"/>
      <c r="G128" s="100">
        <f t="shared" si="18"/>
        <v>13226208</v>
      </c>
      <c r="H128" s="1">
        <v>413319</v>
      </c>
      <c r="I128" s="40">
        <f t="shared" si="19"/>
        <v>-3653792</v>
      </c>
      <c r="J128" s="49">
        <f t="shared" si="20"/>
        <v>-114181</v>
      </c>
      <c r="K128" s="6"/>
      <c r="L128" s="6"/>
      <c r="M128" s="191">
        <f t="shared" si="21"/>
        <v>16880000</v>
      </c>
      <c r="N128" s="4">
        <v>527500</v>
      </c>
      <c r="O128" s="22">
        <v>32</v>
      </c>
      <c r="P128" s="6" t="s">
        <v>48</v>
      </c>
      <c r="Q128" s="45" t="s">
        <v>235</v>
      </c>
      <c r="R128" s="66" t="s">
        <v>158</v>
      </c>
      <c r="S128" s="34" t="s">
        <v>234</v>
      </c>
    </row>
    <row r="129" spans="2:19" ht="39" hidden="1" customHeight="1">
      <c r="D129" s="110">
        <v>11000</v>
      </c>
      <c r="F129" s="110"/>
      <c r="G129" s="100">
        <f t="shared" si="18"/>
        <v>6545000</v>
      </c>
      <c r="H129" s="1">
        <v>11000</v>
      </c>
      <c r="I129" s="40">
        <f t="shared" si="19"/>
        <v>6545000</v>
      </c>
      <c r="J129" s="49">
        <f t="shared" si="20"/>
        <v>11000</v>
      </c>
      <c r="K129" s="6"/>
      <c r="L129" s="6"/>
      <c r="M129" s="191">
        <f t="shared" si="21"/>
        <v>0</v>
      </c>
      <c r="N129" s="4"/>
      <c r="O129" s="169">
        <v>595</v>
      </c>
      <c r="P129" s="166" t="s">
        <v>204</v>
      </c>
      <c r="Q129" s="167" t="s">
        <v>205</v>
      </c>
      <c r="R129" s="66" t="s">
        <v>158</v>
      </c>
      <c r="S129" s="207">
        <v>120703</v>
      </c>
    </row>
    <row r="130" spans="2:19" ht="39" hidden="1" customHeight="1">
      <c r="B130" s="259" t="s">
        <v>271</v>
      </c>
      <c r="C130" s="3" t="s">
        <v>297</v>
      </c>
      <c r="D130" s="57">
        <v>17156.169999999998</v>
      </c>
      <c r="F130" s="57"/>
      <c r="G130" s="100">
        <f t="shared" si="18"/>
        <v>100991020</v>
      </c>
      <c r="H130" s="58">
        <f>17156+2150*14+893*14</f>
        <v>59758</v>
      </c>
      <c r="I130" s="40">
        <f t="shared" si="19"/>
        <v>62413390</v>
      </c>
      <c r="J130" s="49">
        <f t="shared" si="20"/>
        <v>36931</v>
      </c>
      <c r="K130" s="7"/>
      <c r="L130" s="59"/>
      <c r="M130" s="191">
        <f t="shared" si="21"/>
        <v>38577630</v>
      </c>
      <c r="N130" s="168">
        <v>22827</v>
      </c>
      <c r="O130" s="60">
        <v>1690</v>
      </c>
      <c r="P130" s="4" t="s">
        <v>44</v>
      </c>
      <c r="Q130" s="74" t="s">
        <v>163</v>
      </c>
      <c r="R130" s="66" t="s">
        <v>158</v>
      </c>
      <c r="S130" s="213">
        <v>120801</v>
      </c>
    </row>
    <row r="131" spans="2:19" ht="39" hidden="1" customHeight="1">
      <c r="B131" s="259" t="s">
        <v>272</v>
      </c>
      <c r="C131" s="3" t="s">
        <v>298</v>
      </c>
      <c r="D131" s="57">
        <v>19358.900000000001</v>
      </c>
      <c r="F131" s="57"/>
      <c r="G131" s="100">
        <f t="shared" si="18"/>
        <v>53861780</v>
      </c>
      <c r="H131" s="58">
        <f>19358+2150*1.3*9+10448</f>
        <v>54961</v>
      </c>
      <c r="I131" s="40">
        <f t="shared" si="19"/>
        <v>32781980</v>
      </c>
      <c r="J131" s="49">
        <f t="shared" si="20"/>
        <v>33451</v>
      </c>
      <c r="K131" s="7"/>
      <c r="L131" s="59"/>
      <c r="M131" s="191">
        <f t="shared" si="21"/>
        <v>21079800</v>
      </c>
      <c r="N131" s="73">
        <v>21510</v>
      </c>
      <c r="O131" s="60">
        <v>980</v>
      </c>
      <c r="P131" s="4" t="s">
        <v>44</v>
      </c>
      <c r="Q131" s="74" t="s">
        <v>164</v>
      </c>
      <c r="R131" s="66" t="s">
        <v>158</v>
      </c>
      <c r="S131" s="213">
        <v>121001</v>
      </c>
    </row>
    <row r="132" spans="2:19" ht="39" hidden="1" customHeight="1">
      <c r="B132" s="259" t="s">
        <v>273</v>
      </c>
      <c r="C132" s="266" t="s">
        <v>299</v>
      </c>
      <c r="D132" s="57">
        <v>64529.75</v>
      </c>
      <c r="F132" s="57"/>
      <c r="G132" s="100">
        <f t="shared" si="18"/>
        <v>155725100</v>
      </c>
      <c r="H132" s="58">
        <f>34827+2150*1.3*30+64529</f>
        <v>183206</v>
      </c>
      <c r="I132" s="40">
        <f t="shared" si="19"/>
        <v>94780100</v>
      </c>
      <c r="J132" s="49">
        <f t="shared" si="20"/>
        <v>111506</v>
      </c>
      <c r="K132" s="7"/>
      <c r="L132" s="59"/>
      <c r="M132" s="191">
        <f t="shared" si="21"/>
        <v>60945000</v>
      </c>
      <c r="N132" s="73">
        <v>71700</v>
      </c>
      <c r="O132" s="60">
        <v>850</v>
      </c>
      <c r="P132" s="4" t="s">
        <v>44</v>
      </c>
      <c r="Q132" s="74" t="s">
        <v>165</v>
      </c>
      <c r="R132" s="66" t="s">
        <v>158</v>
      </c>
      <c r="S132" s="213">
        <v>121002</v>
      </c>
    </row>
    <row r="133" spans="2:19" ht="39" hidden="1" customHeight="1" thickBot="1">
      <c r="D133" s="21"/>
      <c r="F133" s="21"/>
      <c r="G133" s="397">
        <f>SUM(G116:G132)</f>
        <v>1690321608</v>
      </c>
      <c r="H133" s="398"/>
      <c r="I133" s="402">
        <f>SUM(I116:I132)</f>
        <v>974387198</v>
      </c>
      <c r="J133" s="402"/>
      <c r="K133" s="400">
        <f>SUM(K117:K129)</f>
        <v>0</v>
      </c>
      <c r="L133" s="400"/>
      <c r="M133" s="400">
        <f>SUM(M116:M132)</f>
        <v>715934410</v>
      </c>
      <c r="N133" s="400"/>
      <c r="O133" s="39"/>
      <c r="P133" s="115"/>
      <c r="Q133" s="115" t="s">
        <v>11</v>
      </c>
      <c r="R133" s="67"/>
      <c r="S133" s="209"/>
    </row>
    <row r="134" spans="2:19" ht="49.5" hidden="1" customHeight="1" thickBot="1">
      <c r="D134" s="13"/>
      <c r="F134" s="13"/>
      <c r="G134" s="99"/>
      <c r="H134" s="37"/>
      <c r="I134" s="50"/>
      <c r="J134" s="50"/>
      <c r="K134" s="44"/>
      <c r="L134" s="44"/>
      <c r="M134" s="99"/>
      <c r="N134" s="37"/>
      <c r="O134" s="24"/>
      <c r="P134" s="17"/>
      <c r="Q134" s="17"/>
      <c r="R134" s="17"/>
      <c r="S134" s="210"/>
    </row>
    <row r="135" spans="2:19" ht="25.5" hidden="1" customHeight="1">
      <c r="D135" s="77"/>
      <c r="F135" s="173"/>
      <c r="G135" s="382" t="s">
        <v>300</v>
      </c>
      <c r="H135" s="382"/>
      <c r="I135" s="382" t="s">
        <v>145</v>
      </c>
      <c r="J135" s="382"/>
      <c r="K135" s="78"/>
      <c r="L135" s="78"/>
      <c r="M135" s="199"/>
      <c r="N135" s="78"/>
      <c r="O135" s="79"/>
      <c r="P135" s="78"/>
      <c r="Q135" s="80" t="s">
        <v>171</v>
      </c>
      <c r="R135" s="41"/>
      <c r="S135" s="219"/>
    </row>
    <row r="136" spans="2:19" ht="25.5" hidden="1" customHeight="1">
      <c r="D136" s="81"/>
      <c r="F136" s="174"/>
      <c r="G136" s="96"/>
      <c r="H136" s="82"/>
      <c r="I136" s="83"/>
      <c r="J136" s="143" t="s">
        <v>146</v>
      </c>
      <c r="K136" s="144"/>
      <c r="L136" s="144"/>
      <c r="M136" s="200"/>
      <c r="N136" s="144"/>
      <c r="O136" s="135"/>
      <c r="P136" s="144"/>
      <c r="Q136" s="84" t="s">
        <v>292</v>
      </c>
      <c r="R136" s="56"/>
      <c r="S136" s="175"/>
    </row>
    <row r="137" spans="2:19" ht="25.5" hidden="1" customHeight="1" thickBot="1">
      <c r="D137" s="85"/>
      <c r="F137" s="85"/>
      <c r="G137" s="145"/>
      <c r="H137" s="136"/>
      <c r="I137" s="146"/>
      <c r="J137" s="146"/>
      <c r="K137" s="136"/>
      <c r="L137" s="136"/>
      <c r="M137" s="202" t="s">
        <v>183</v>
      </c>
      <c r="N137" s="136"/>
      <c r="O137" s="136"/>
      <c r="P137" s="136"/>
      <c r="Q137" s="86" t="s">
        <v>207</v>
      </c>
      <c r="R137" s="42"/>
      <c r="S137" s="205"/>
    </row>
    <row r="138" spans="2:19" ht="30" hidden="1" customHeight="1">
      <c r="D138" s="385" t="s">
        <v>144</v>
      </c>
      <c r="F138" s="385" t="s">
        <v>144</v>
      </c>
      <c r="G138" s="406" t="s">
        <v>63</v>
      </c>
      <c r="H138" s="406"/>
      <c r="I138" s="409" t="s">
        <v>170</v>
      </c>
      <c r="J138" s="409"/>
      <c r="K138" s="401" t="s">
        <v>2</v>
      </c>
      <c r="L138" s="401"/>
      <c r="M138" s="401" t="s">
        <v>169</v>
      </c>
      <c r="N138" s="401"/>
      <c r="O138" s="426" t="s">
        <v>139</v>
      </c>
      <c r="P138" s="401" t="s">
        <v>1</v>
      </c>
      <c r="Q138" s="401" t="s">
        <v>138</v>
      </c>
      <c r="R138" s="62"/>
      <c r="S138" s="424" t="s">
        <v>0</v>
      </c>
    </row>
    <row r="139" spans="2:19" ht="30" hidden="1" customHeight="1">
      <c r="D139" s="386"/>
      <c r="F139" s="386"/>
      <c r="G139" s="97" t="s">
        <v>143</v>
      </c>
      <c r="H139" s="49" t="s">
        <v>142</v>
      </c>
      <c r="I139" s="49" t="s">
        <v>143</v>
      </c>
      <c r="J139" s="49" t="s">
        <v>142</v>
      </c>
      <c r="K139" s="1" t="s">
        <v>4</v>
      </c>
      <c r="L139" s="1" t="s">
        <v>3</v>
      </c>
      <c r="M139" s="100" t="s">
        <v>141</v>
      </c>
      <c r="N139" s="1" t="s">
        <v>140</v>
      </c>
      <c r="O139" s="427"/>
      <c r="P139" s="422"/>
      <c r="Q139" s="422"/>
      <c r="R139" s="2"/>
      <c r="S139" s="425"/>
    </row>
    <row r="140" spans="2:19" ht="35.25" hidden="1" customHeight="1">
      <c r="D140" s="5"/>
      <c r="F140" s="5"/>
      <c r="G140" s="100"/>
      <c r="H140" s="1"/>
      <c r="I140" s="40">
        <f>J140*O140</f>
        <v>-103292000</v>
      </c>
      <c r="J140" s="49">
        <f>H140-N140</f>
        <v>-136</v>
      </c>
      <c r="K140" s="6"/>
      <c r="L140" s="6"/>
      <c r="M140" s="191">
        <f>N140*O140</f>
        <v>103292000</v>
      </c>
      <c r="N140" s="4">
        <v>136</v>
      </c>
      <c r="O140" s="22">
        <v>759500</v>
      </c>
      <c r="P140" s="6" t="s">
        <v>35</v>
      </c>
      <c r="Q140" s="46" t="s">
        <v>110</v>
      </c>
      <c r="R140" s="46" t="s">
        <v>158</v>
      </c>
      <c r="S140" s="207">
        <v>130804</v>
      </c>
    </row>
    <row r="141" spans="2:19" ht="35.25" hidden="1" customHeight="1">
      <c r="D141" s="5"/>
      <c r="F141" s="5"/>
      <c r="G141" s="100"/>
      <c r="H141" s="1"/>
      <c r="I141" s="40">
        <f>J141*O141</f>
        <v>-217550000</v>
      </c>
      <c r="J141" s="49">
        <f>H141-N141</f>
        <v>-380</v>
      </c>
      <c r="K141" s="6"/>
      <c r="L141" s="6"/>
      <c r="M141" s="191">
        <f>N141*O141</f>
        <v>217550000</v>
      </c>
      <c r="N141" s="4">
        <v>380</v>
      </c>
      <c r="O141" s="22">
        <v>572500</v>
      </c>
      <c r="P141" s="6" t="s">
        <v>35</v>
      </c>
      <c r="Q141" s="45" t="s">
        <v>237</v>
      </c>
      <c r="R141" s="46" t="s">
        <v>158</v>
      </c>
      <c r="S141" s="34" t="s">
        <v>236</v>
      </c>
    </row>
    <row r="142" spans="2:19" ht="35.25" hidden="1" customHeight="1">
      <c r="D142" s="5"/>
      <c r="F142" s="5"/>
      <c r="G142" s="100">
        <f>H142*O142</f>
        <v>7986000</v>
      </c>
      <c r="H142" s="1">
        <v>44</v>
      </c>
      <c r="I142" s="40">
        <f>J142*O142</f>
        <v>7986000</v>
      </c>
      <c r="J142" s="49">
        <f>H142-N142</f>
        <v>44</v>
      </c>
      <c r="K142" s="6"/>
      <c r="L142" s="6"/>
      <c r="M142" s="191">
        <f>N142*O142</f>
        <v>0</v>
      </c>
      <c r="N142" s="4"/>
      <c r="O142" s="22">
        <v>181500</v>
      </c>
      <c r="P142" s="6" t="s">
        <v>155</v>
      </c>
      <c r="Q142" s="46" t="s">
        <v>208</v>
      </c>
      <c r="R142" s="46" t="s">
        <v>158</v>
      </c>
      <c r="S142" s="207">
        <v>131109</v>
      </c>
    </row>
    <row r="143" spans="2:19" ht="27" hidden="1" customHeight="1" thickBot="1">
      <c r="D143" s="21"/>
      <c r="F143" s="21"/>
      <c r="G143" s="397">
        <f>SUM(G140:G142)</f>
        <v>7986000</v>
      </c>
      <c r="H143" s="398"/>
      <c r="I143" s="402">
        <f>SUM(I140:I142)</f>
        <v>-312856000</v>
      </c>
      <c r="J143" s="402"/>
      <c r="K143" s="400">
        <f>SUM(K140:K140)</f>
        <v>0</v>
      </c>
      <c r="L143" s="400"/>
      <c r="M143" s="400">
        <f>SUM(M140:M142)</f>
        <v>320842000</v>
      </c>
      <c r="N143" s="400"/>
      <c r="O143" s="39"/>
      <c r="P143" s="115"/>
      <c r="Q143" s="115" t="s">
        <v>111</v>
      </c>
      <c r="R143" s="15"/>
      <c r="S143" s="209"/>
    </row>
    <row r="144" spans="2:19" ht="25.5" hidden="1" customHeight="1" thickBot="1">
      <c r="D144" s="85"/>
      <c r="F144" s="85"/>
      <c r="G144" s="145"/>
      <c r="H144" s="136"/>
      <c r="I144" s="146"/>
      <c r="J144" s="146"/>
      <c r="K144" s="136"/>
      <c r="L144" s="136"/>
      <c r="M144" s="202" t="s">
        <v>183</v>
      </c>
      <c r="N144" s="136"/>
      <c r="O144" s="136"/>
      <c r="P144" s="136"/>
      <c r="Q144" s="86" t="s">
        <v>209</v>
      </c>
      <c r="R144" s="42"/>
      <c r="S144" s="205"/>
    </row>
    <row r="145" spans="2:19" ht="43.5" hidden="1" customHeight="1">
      <c r="D145" s="20">
        <v>7280</v>
      </c>
      <c r="F145" s="20"/>
      <c r="G145" s="100">
        <f t="shared" ref="G145:G155" si="22">H145*O145</f>
        <v>531440000</v>
      </c>
      <c r="H145" s="1">
        <v>7280</v>
      </c>
      <c r="I145" s="40">
        <f>J145*O145</f>
        <v>-577941000</v>
      </c>
      <c r="J145" s="49">
        <f>H145-N145</f>
        <v>-7917</v>
      </c>
      <c r="K145" s="6"/>
      <c r="L145" s="6"/>
      <c r="M145" s="113">
        <f t="shared" ref="M145:M155" si="23">N145*O145</f>
        <v>1109381000</v>
      </c>
      <c r="N145" s="4">
        <v>15197</v>
      </c>
      <c r="O145" s="22">
        <v>73000</v>
      </c>
      <c r="P145" s="6" t="s">
        <v>35</v>
      </c>
      <c r="Q145" s="45" t="s">
        <v>239</v>
      </c>
      <c r="R145" s="65" t="s">
        <v>158</v>
      </c>
      <c r="S145" s="34" t="s">
        <v>238</v>
      </c>
    </row>
    <row r="146" spans="2:19" ht="43.5" hidden="1" customHeight="1">
      <c r="D146" s="20"/>
      <c r="F146" s="20"/>
      <c r="G146" s="100">
        <f t="shared" si="22"/>
        <v>0</v>
      </c>
      <c r="H146" s="1"/>
      <c r="I146" s="40">
        <f t="shared" ref="I146:I155" si="24">J146*O146</f>
        <v>0</v>
      </c>
      <c r="J146" s="49">
        <f t="shared" ref="J146:J155" si="25">H146-N146</f>
        <v>0</v>
      </c>
      <c r="K146" s="6"/>
      <c r="L146" s="6"/>
      <c r="M146" s="100">
        <f t="shared" si="23"/>
        <v>0</v>
      </c>
      <c r="N146" s="4"/>
      <c r="O146" s="22">
        <v>6170</v>
      </c>
      <c r="P146" s="6" t="s">
        <v>35</v>
      </c>
      <c r="Q146" s="45" t="s">
        <v>166</v>
      </c>
      <c r="R146" s="65" t="s">
        <v>158</v>
      </c>
      <c r="S146" s="207">
        <v>140701</v>
      </c>
    </row>
    <row r="147" spans="2:19" ht="43.5" hidden="1" customHeight="1">
      <c r="D147" s="20"/>
      <c r="F147" s="20"/>
      <c r="G147" s="100">
        <f t="shared" si="22"/>
        <v>1064000</v>
      </c>
      <c r="H147" s="1">
        <v>140</v>
      </c>
      <c r="I147" s="40">
        <f t="shared" si="24"/>
        <v>1064000</v>
      </c>
      <c r="J147" s="49">
        <f t="shared" si="25"/>
        <v>140</v>
      </c>
      <c r="K147" s="6"/>
      <c r="L147" s="6"/>
      <c r="M147" s="100">
        <f t="shared" si="23"/>
        <v>0</v>
      </c>
      <c r="N147" s="4"/>
      <c r="O147" s="22">
        <v>7600</v>
      </c>
      <c r="P147" s="6" t="s">
        <v>35</v>
      </c>
      <c r="Q147" s="45" t="s">
        <v>136</v>
      </c>
      <c r="R147" s="65" t="s">
        <v>158</v>
      </c>
      <c r="S147" s="207">
        <v>140704</v>
      </c>
    </row>
    <row r="148" spans="2:19" ht="43.5" hidden="1" customHeight="1">
      <c r="D148" s="20"/>
      <c r="F148" s="20"/>
      <c r="G148" s="100">
        <f t="shared" si="22"/>
        <v>455000</v>
      </c>
      <c r="H148" s="1">
        <v>140</v>
      </c>
      <c r="I148" s="40">
        <f t="shared" si="24"/>
        <v>455000</v>
      </c>
      <c r="J148" s="49">
        <f t="shared" si="25"/>
        <v>140</v>
      </c>
      <c r="K148" s="6"/>
      <c r="L148" s="6"/>
      <c r="M148" s="100">
        <f t="shared" si="23"/>
        <v>0</v>
      </c>
      <c r="N148" s="4"/>
      <c r="O148" s="22">
        <v>3250</v>
      </c>
      <c r="P148" s="6" t="s">
        <v>35</v>
      </c>
      <c r="Q148" s="45" t="s">
        <v>167</v>
      </c>
      <c r="R148" s="65" t="s">
        <v>158</v>
      </c>
      <c r="S148" s="207">
        <v>140801</v>
      </c>
    </row>
    <row r="149" spans="2:19" ht="43.5" hidden="1" customHeight="1">
      <c r="B149" s="259">
        <v>950</v>
      </c>
      <c r="D149" s="20"/>
      <c r="F149" s="20"/>
      <c r="G149" s="100">
        <f t="shared" si="22"/>
        <v>72485000</v>
      </c>
      <c r="H149" s="1">
        <v>950</v>
      </c>
      <c r="I149" s="40">
        <f t="shared" si="24"/>
        <v>72485000</v>
      </c>
      <c r="J149" s="49">
        <f t="shared" si="25"/>
        <v>950</v>
      </c>
      <c r="K149" s="6"/>
      <c r="L149" s="6"/>
      <c r="M149" s="100">
        <f t="shared" si="23"/>
        <v>0</v>
      </c>
      <c r="N149" s="4"/>
      <c r="O149" s="22">
        <v>76300</v>
      </c>
      <c r="P149" s="6" t="s">
        <v>35</v>
      </c>
      <c r="Q149" s="45" t="s">
        <v>275</v>
      </c>
      <c r="R149" s="65" t="s">
        <v>158</v>
      </c>
      <c r="S149" s="207" t="s">
        <v>274</v>
      </c>
    </row>
    <row r="150" spans="2:19" ht="43.5" hidden="1" customHeight="1">
      <c r="D150" s="20"/>
      <c r="F150" s="20"/>
      <c r="G150" s="100">
        <f t="shared" si="22"/>
        <v>0</v>
      </c>
      <c r="H150" s="1"/>
      <c r="I150" s="40">
        <f t="shared" si="24"/>
        <v>0</v>
      </c>
      <c r="J150" s="49">
        <f t="shared" si="25"/>
        <v>0</v>
      </c>
      <c r="K150" s="6"/>
      <c r="L150" s="6"/>
      <c r="M150" s="100">
        <f t="shared" si="23"/>
        <v>0</v>
      </c>
      <c r="N150" s="4"/>
      <c r="O150" s="22">
        <v>9670</v>
      </c>
      <c r="P150" s="6" t="s">
        <v>35</v>
      </c>
      <c r="Q150" s="45" t="s">
        <v>137</v>
      </c>
      <c r="R150" s="65" t="s">
        <v>158</v>
      </c>
      <c r="S150" s="207">
        <v>141002</v>
      </c>
    </row>
    <row r="151" spans="2:19" ht="43.5" hidden="1" customHeight="1">
      <c r="D151" s="20">
        <v>400</v>
      </c>
      <c r="F151" s="20"/>
      <c r="G151" s="100">
        <f t="shared" si="22"/>
        <v>13800000</v>
      </c>
      <c r="H151" s="1">
        <v>400</v>
      </c>
      <c r="I151" s="40">
        <f t="shared" si="24"/>
        <v>13800000</v>
      </c>
      <c r="J151" s="49">
        <f t="shared" si="25"/>
        <v>400</v>
      </c>
      <c r="K151" s="6"/>
      <c r="L151" s="6"/>
      <c r="M151" s="100">
        <f t="shared" si="23"/>
        <v>0</v>
      </c>
      <c r="N151" s="4"/>
      <c r="O151" s="22">
        <v>34500</v>
      </c>
      <c r="P151" s="6" t="s">
        <v>35</v>
      </c>
      <c r="Q151" s="45" t="s">
        <v>253</v>
      </c>
      <c r="R151" s="65" t="s">
        <v>158</v>
      </c>
      <c r="S151" s="34" t="s">
        <v>251</v>
      </c>
    </row>
    <row r="152" spans="2:19" ht="43.5" hidden="1" customHeight="1">
      <c r="D152" s="20">
        <v>600</v>
      </c>
      <c r="F152" s="20"/>
      <c r="G152" s="100">
        <f t="shared" si="22"/>
        <v>17160000</v>
      </c>
      <c r="H152" s="1">
        <v>600</v>
      </c>
      <c r="I152" s="40">
        <f t="shared" si="24"/>
        <v>17160000</v>
      </c>
      <c r="J152" s="49">
        <f t="shared" si="25"/>
        <v>600</v>
      </c>
      <c r="K152" s="6"/>
      <c r="L152" s="6"/>
      <c r="M152" s="100">
        <f t="shared" si="23"/>
        <v>0</v>
      </c>
      <c r="N152" s="4"/>
      <c r="O152" s="22">
        <v>28600</v>
      </c>
      <c r="P152" s="6" t="s">
        <v>35</v>
      </c>
      <c r="Q152" s="45" t="s">
        <v>254</v>
      </c>
      <c r="R152" s="65" t="s">
        <v>158</v>
      </c>
      <c r="S152" s="34" t="s">
        <v>252</v>
      </c>
    </row>
    <row r="153" spans="2:19" ht="32.25" hidden="1" customHeight="1">
      <c r="B153" s="259" t="s">
        <v>276</v>
      </c>
      <c r="D153" s="20">
        <v>92520</v>
      </c>
      <c r="F153" s="20"/>
      <c r="G153" s="100">
        <f t="shared" si="22"/>
        <v>99048600</v>
      </c>
      <c r="H153" s="1">
        <f>92520+9*950</f>
        <v>101070</v>
      </c>
      <c r="I153" s="40">
        <f t="shared" si="24"/>
        <v>-34988940</v>
      </c>
      <c r="J153" s="49">
        <f t="shared" si="25"/>
        <v>-35703</v>
      </c>
      <c r="K153" s="6"/>
      <c r="L153" s="6"/>
      <c r="M153" s="100">
        <f t="shared" si="23"/>
        <v>134037540</v>
      </c>
      <c r="N153" s="4">
        <v>136773</v>
      </c>
      <c r="O153" s="104">
        <v>980</v>
      </c>
      <c r="P153" s="4" t="s">
        <v>44</v>
      </c>
      <c r="Q153" s="45" t="s">
        <v>68</v>
      </c>
      <c r="R153" s="65" t="s">
        <v>158</v>
      </c>
      <c r="S153" s="207">
        <v>141901</v>
      </c>
    </row>
    <row r="154" spans="2:19" ht="32.25" hidden="1" customHeight="1">
      <c r="B154" s="259" t="s">
        <v>277</v>
      </c>
      <c r="D154" s="20">
        <v>205600</v>
      </c>
      <c r="F154" s="20"/>
      <c r="G154" s="100">
        <f t="shared" si="22"/>
        <v>201017000</v>
      </c>
      <c r="H154" s="1">
        <f>205600+20*950</f>
        <v>224600</v>
      </c>
      <c r="I154" s="40">
        <f t="shared" si="24"/>
        <v>-71009300</v>
      </c>
      <c r="J154" s="49">
        <f t="shared" si="25"/>
        <v>-79340</v>
      </c>
      <c r="K154" s="6"/>
      <c r="L154" s="6"/>
      <c r="M154" s="100">
        <f t="shared" si="23"/>
        <v>272026300</v>
      </c>
      <c r="N154" s="4">
        <v>303940</v>
      </c>
      <c r="O154" s="22">
        <v>895</v>
      </c>
      <c r="P154" s="4" t="s">
        <v>44</v>
      </c>
      <c r="Q154" s="45" t="s">
        <v>242</v>
      </c>
      <c r="R154" s="65" t="s">
        <v>158</v>
      </c>
      <c r="S154" s="207">
        <v>141902</v>
      </c>
    </row>
    <row r="155" spans="2:19" ht="32.25" hidden="1" customHeight="1">
      <c r="B155" s="259" t="s">
        <v>278</v>
      </c>
      <c r="D155" s="57">
        <v>102800</v>
      </c>
      <c r="F155" s="57"/>
      <c r="G155" s="100">
        <f t="shared" si="22"/>
        <v>80294500</v>
      </c>
      <c r="H155" s="224">
        <f>102800+10*950</f>
        <v>112300</v>
      </c>
      <c r="I155" s="40">
        <f t="shared" si="24"/>
        <v>-28364050</v>
      </c>
      <c r="J155" s="49">
        <f t="shared" si="25"/>
        <v>-39670</v>
      </c>
      <c r="K155" s="7"/>
      <c r="L155" s="7"/>
      <c r="M155" s="100">
        <f t="shared" si="23"/>
        <v>108658550</v>
      </c>
      <c r="N155" s="59">
        <v>151970</v>
      </c>
      <c r="O155" s="60">
        <v>715</v>
      </c>
      <c r="P155" s="4" t="s">
        <v>44</v>
      </c>
      <c r="Q155" s="247" t="s">
        <v>241</v>
      </c>
      <c r="R155" s="65" t="s">
        <v>158</v>
      </c>
      <c r="S155" s="248" t="s">
        <v>240</v>
      </c>
    </row>
    <row r="156" spans="2:19" ht="29.25" hidden="1" customHeight="1" thickBot="1">
      <c r="D156" s="21"/>
      <c r="F156" s="21"/>
      <c r="G156" s="397">
        <f>SUM(G145:G155)</f>
        <v>1016764100</v>
      </c>
      <c r="H156" s="398"/>
      <c r="I156" s="432">
        <f>SUM(I145:I155)</f>
        <v>-607339290</v>
      </c>
      <c r="J156" s="432"/>
      <c r="K156" s="433">
        <f>SUM(K145:K154)</f>
        <v>0</v>
      </c>
      <c r="L156" s="433"/>
      <c r="M156" s="400">
        <f>SUM(M145:M155)</f>
        <v>1624103390</v>
      </c>
      <c r="N156" s="400"/>
      <c r="O156" s="400"/>
      <c r="P156" s="400"/>
      <c r="Q156" s="170" t="s">
        <v>13</v>
      </c>
      <c r="R156" s="68"/>
      <c r="S156" s="217"/>
    </row>
    <row r="157" spans="2:19" ht="49.5" hidden="1" customHeight="1">
      <c r="D157" s="13"/>
      <c r="F157" s="13"/>
      <c r="G157" s="99"/>
      <c r="H157" s="11"/>
      <c r="I157" s="54"/>
      <c r="J157" s="54"/>
      <c r="K157" s="87"/>
      <c r="L157" s="87"/>
      <c r="M157" s="99"/>
      <c r="N157" s="37"/>
      <c r="O157" s="37"/>
      <c r="P157" s="37"/>
      <c r="Q157" s="88"/>
      <c r="R157" s="88"/>
      <c r="S157" s="218"/>
    </row>
    <row r="158" spans="2:19" ht="49.5" hidden="1" customHeight="1" thickBot="1">
      <c r="D158" s="13"/>
      <c r="F158" s="13"/>
      <c r="G158" s="99"/>
      <c r="H158" s="11"/>
      <c r="I158" s="54"/>
      <c r="J158" s="54"/>
      <c r="K158" s="87"/>
      <c r="L158" s="87"/>
      <c r="M158" s="99"/>
      <c r="N158" s="37"/>
      <c r="O158" s="37"/>
      <c r="P158" s="37"/>
      <c r="Q158" s="88"/>
      <c r="R158" s="88"/>
      <c r="S158" s="218"/>
    </row>
    <row r="159" spans="2:19" ht="25.5" hidden="1" customHeight="1">
      <c r="D159" s="77"/>
      <c r="F159" s="173"/>
      <c r="G159" s="382" t="s">
        <v>300</v>
      </c>
      <c r="H159" s="382"/>
      <c r="I159" s="382" t="s">
        <v>145</v>
      </c>
      <c r="J159" s="382"/>
      <c r="K159" s="78"/>
      <c r="L159" s="78"/>
      <c r="M159" s="199"/>
      <c r="N159" s="78"/>
      <c r="O159" s="79"/>
      <c r="P159" s="78"/>
      <c r="Q159" s="80" t="s">
        <v>171</v>
      </c>
      <c r="R159" s="41"/>
      <c r="S159" s="219"/>
    </row>
    <row r="160" spans="2:19" ht="25.5" hidden="1" customHeight="1">
      <c r="D160" s="81"/>
      <c r="F160" s="174"/>
      <c r="G160" s="96"/>
      <c r="H160" s="82"/>
      <c r="I160" s="83"/>
      <c r="J160" s="143" t="s">
        <v>146</v>
      </c>
      <c r="K160" s="144"/>
      <c r="L160" s="144"/>
      <c r="M160" s="200"/>
      <c r="N160" s="144"/>
      <c r="O160" s="135"/>
      <c r="P160" s="144"/>
      <c r="Q160" s="84" t="s">
        <v>292</v>
      </c>
      <c r="R160" s="56"/>
      <c r="S160" s="175"/>
    </row>
    <row r="161" spans="2:19" ht="25.5" hidden="1" customHeight="1" thickBot="1">
      <c r="D161" s="85"/>
      <c r="F161" s="85"/>
      <c r="G161" s="145"/>
      <c r="H161" s="136"/>
      <c r="I161" s="146"/>
      <c r="J161" s="146"/>
      <c r="K161" s="136"/>
      <c r="L161" s="136"/>
      <c r="M161" s="202" t="s">
        <v>183</v>
      </c>
      <c r="N161" s="136"/>
      <c r="O161" s="136"/>
      <c r="P161" s="136"/>
      <c r="Q161" s="86" t="s">
        <v>210</v>
      </c>
      <c r="R161" s="42"/>
      <c r="S161" s="205"/>
    </row>
    <row r="162" spans="2:19" ht="34.5" hidden="1" customHeight="1">
      <c r="C162" s="3" t="s">
        <v>291</v>
      </c>
      <c r="D162" s="20"/>
      <c r="F162" s="20"/>
      <c r="G162" s="100">
        <f>H162*O162</f>
        <v>6300000</v>
      </c>
      <c r="H162" s="1">
        <v>700</v>
      </c>
      <c r="I162" s="40">
        <f>J162*O162</f>
        <v>6300000</v>
      </c>
      <c r="J162" s="49">
        <f>H162-N162</f>
        <v>700</v>
      </c>
      <c r="K162" s="4"/>
      <c r="L162" s="4"/>
      <c r="M162" s="191"/>
      <c r="N162" s="4"/>
      <c r="O162" s="22">
        <v>9000</v>
      </c>
      <c r="P162" s="4" t="s">
        <v>36</v>
      </c>
      <c r="Q162" s="4" t="s">
        <v>98</v>
      </c>
      <c r="R162" s="64" t="s">
        <v>158</v>
      </c>
      <c r="S162" s="32" t="s">
        <v>97</v>
      </c>
    </row>
    <row r="163" spans="2:19" ht="34.5" hidden="1" customHeight="1">
      <c r="D163" s="20"/>
      <c r="F163" s="20"/>
      <c r="G163" s="100"/>
      <c r="H163" s="1"/>
      <c r="I163" s="40">
        <f>J163*O163</f>
        <v>0</v>
      </c>
      <c r="J163" s="49">
        <f>H163-N163</f>
        <v>0</v>
      </c>
      <c r="K163" s="4"/>
      <c r="L163" s="4"/>
      <c r="M163" s="191"/>
      <c r="N163" s="4"/>
      <c r="O163" s="22">
        <v>43200</v>
      </c>
      <c r="P163" s="4" t="s">
        <v>36</v>
      </c>
      <c r="Q163" s="4" t="s">
        <v>106</v>
      </c>
      <c r="R163" s="64" t="s">
        <v>158</v>
      </c>
      <c r="S163" s="32" t="s">
        <v>105</v>
      </c>
    </row>
    <row r="164" spans="2:19" s="171" customFormat="1" ht="34.5" hidden="1" customHeight="1" thickBot="1">
      <c r="B164" s="260"/>
      <c r="C164" s="263"/>
      <c r="D164" s="131"/>
      <c r="F164" s="131"/>
      <c r="G164" s="397">
        <f>SUM(G162:G163)</f>
        <v>6300000</v>
      </c>
      <c r="H164" s="398"/>
      <c r="I164" s="399">
        <f>SUM(I162:I163)</f>
        <v>6300000</v>
      </c>
      <c r="J164" s="399"/>
      <c r="K164" s="411">
        <f>SUM(K162:K163)</f>
        <v>0</v>
      </c>
      <c r="L164" s="411"/>
      <c r="M164" s="411">
        <f>SUM(M162:M163)</f>
        <v>0</v>
      </c>
      <c r="N164" s="411"/>
      <c r="O164" s="133"/>
      <c r="P164" s="132"/>
      <c r="Q164" s="134" t="s">
        <v>60</v>
      </c>
      <c r="R164" s="172"/>
      <c r="S164" s="217"/>
    </row>
    <row r="165" spans="2:19" ht="32.25" hidden="1" customHeight="1">
      <c r="D165" s="177"/>
      <c r="F165" s="177"/>
      <c r="G165" s="103"/>
      <c r="H165" s="75"/>
      <c r="I165" s="40">
        <f>J165*O165</f>
        <v>0</v>
      </c>
      <c r="J165" s="49">
        <f>H165-N165</f>
        <v>0</v>
      </c>
      <c r="K165" s="75"/>
      <c r="L165" s="75"/>
      <c r="M165" s="191"/>
      <c r="N165" s="75"/>
      <c r="O165" s="90">
        <v>40700</v>
      </c>
      <c r="P165" s="4" t="s">
        <v>125</v>
      </c>
      <c r="Q165" s="71" t="s">
        <v>168</v>
      </c>
      <c r="R165" s="72" t="s">
        <v>158</v>
      </c>
      <c r="S165" s="214">
        <v>190103</v>
      </c>
    </row>
    <row r="166" spans="2:19" ht="32.25" hidden="1" customHeight="1">
      <c r="D166" s="177">
        <v>4369.33</v>
      </c>
      <c r="F166" s="177"/>
      <c r="G166" s="103">
        <f>H166*O166</f>
        <v>27087800</v>
      </c>
      <c r="H166" s="75">
        <v>4369</v>
      </c>
      <c r="I166" s="40">
        <f>J166*O166</f>
        <v>27087800</v>
      </c>
      <c r="J166" s="49">
        <f>H166-N166</f>
        <v>4369</v>
      </c>
      <c r="K166" s="75"/>
      <c r="L166" s="75"/>
      <c r="M166" s="191"/>
      <c r="N166" s="75"/>
      <c r="O166" s="90">
        <v>6200</v>
      </c>
      <c r="P166" s="4" t="s">
        <v>125</v>
      </c>
      <c r="Q166" s="71" t="s">
        <v>256</v>
      </c>
      <c r="R166" s="72" t="s">
        <v>158</v>
      </c>
      <c r="S166" s="212" t="s">
        <v>255</v>
      </c>
    </row>
    <row r="167" spans="2:19" ht="32.25" hidden="1" customHeight="1">
      <c r="B167" s="259">
        <v>450</v>
      </c>
      <c r="C167" s="3">
        <v>300</v>
      </c>
      <c r="D167" s="5">
        <v>348.75</v>
      </c>
      <c r="F167" s="5"/>
      <c r="G167" s="103">
        <f>H167*O167</f>
        <v>61048800</v>
      </c>
      <c r="H167" s="1">
        <f>348+300+450</f>
        <v>1098</v>
      </c>
      <c r="I167" s="40">
        <f>J167*O167</f>
        <v>61048800</v>
      </c>
      <c r="J167" s="49">
        <f>H167-N167</f>
        <v>1098</v>
      </c>
      <c r="K167" s="4"/>
      <c r="L167" s="4"/>
      <c r="M167" s="191"/>
      <c r="N167" s="4"/>
      <c r="O167" s="22">
        <v>55600</v>
      </c>
      <c r="P167" s="4" t="s">
        <v>108</v>
      </c>
      <c r="Q167" s="46" t="s">
        <v>150</v>
      </c>
      <c r="R167" s="72" t="s">
        <v>158</v>
      </c>
      <c r="S167" s="32" t="s">
        <v>149</v>
      </c>
    </row>
    <row r="168" spans="2:19" ht="32.25" hidden="1" customHeight="1">
      <c r="D168" s="57"/>
      <c r="F168" s="57"/>
      <c r="G168" s="103">
        <f>H168*O168</f>
        <v>10680000</v>
      </c>
      <c r="H168" s="1">
        <v>120</v>
      </c>
      <c r="I168" s="40">
        <f>J168*O168</f>
        <v>-7120000</v>
      </c>
      <c r="J168" s="49">
        <f>H168-N168</f>
        <v>-80</v>
      </c>
      <c r="K168" s="59"/>
      <c r="L168" s="59"/>
      <c r="M168" s="191">
        <f>N168*O168</f>
        <v>17800000</v>
      </c>
      <c r="N168" s="59">
        <v>200</v>
      </c>
      <c r="O168" s="60">
        <v>89000</v>
      </c>
      <c r="P168" s="59" t="s">
        <v>64</v>
      </c>
      <c r="Q168" s="247" t="s">
        <v>244</v>
      </c>
      <c r="R168" s="72" t="s">
        <v>159</v>
      </c>
      <c r="S168" s="76" t="s">
        <v>243</v>
      </c>
    </row>
    <row r="169" spans="2:19" s="178" customFormat="1" ht="32.25" hidden="1" customHeight="1" thickBot="1">
      <c r="B169" s="261"/>
      <c r="C169" s="264"/>
      <c r="D169" s="179"/>
      <c r="F169" s="179"/>
      <c r="G169" s="407">
        <f>SUM(G165:G168)</f>
        <v>98816600</v>
      </c>
      <c r="H169" s="408"/>
      <c r="I169" s="403">
        <f>SUM(I165:I168)</f>
        <v>81016600</v>
      </c>
      <c r="J169" s="403"/>
      <c r="K169" s="434" t="e">
        <f>SUM(#REF!)</f>
        <v>#REF!</v>
      </c>
      <c r="L169" s="434"/>
      <c r="M169" s="434">
        <f>SUM(M165:M168)</f>
        <v>17800000</v>
      </c>
      <c r="N169" s="434"/>
      <c r="O169" s="182"/>
      <c r="P169" s="181"/>
      <c r="Q169" s="183" t="s">
        <v>107</v>
      </c>
      <c r="R169" s="184"/>
      <c r="S169" s="221"/>
    </row>
    <row r="170" spans="2:19" ht="25.5" hidden="1" customHeight="1" thickBot="1">
      <c r="D170" s="85"/>
      <c r="F170" s="85"/>
      <c r="G170" s="145"/>
      <c r="H170" s="136"/>
      <c r="I170" s="146"/>
      <c r="J170" s="146"/>
      <c r="K170" s="136"/>
      <c r="L170" s="136"/>
      <c r="M170" s="202" t="s">
        <v>183</v>
      </c>
      <c r="N170" s="136"/>
      <c r="O170" s="136"/>
      <c r="P170" s="136"/>
      <c r="Q170" s="86" t="s">
        <v>211</v>
      </c>
      <c r="R170" s="42"/>
      <c r="S170" s="205"/>
    </row>
    <row r="171" spans="2:19" ht="33" hidden="1" customHeight="1">
      <c r="B171" s="265">
        <f>(C118+B118)*0.25*45</f>
        <v>34233.75</v>
      </c>
      <c r="D171" s="20">
        <v>32089.8</v>
      </c>
      <c r="F171" s="20"/>
      <c r="G171" s="100">
        <f>H171*O171</f>
        <v>24207530</v>
      </c>
      <c r="H171" s="1">
        <f>32089+34233</f>
        <v>66322</v>
      </c>
      <c r="I171" s="40">
        <f>J171*O171</f>
        <v>11620870</v>
      </c>
      <c r="J171" s="49">
        <f>H171-N171</f>
        <v>31838</v>
      </c>
      <c r="K171" s="4"/>
      <c r="L171" s="4"/>
      <c r="M171" s="191">
        <f>N171*O171</f>
        <v>12586660</v>
      </c>
      <c r="N171" s="4">
        <v>34484</v>
      </c>
      <c r="O171" s="22">
        <v>365</v>
      </c>
      <c r="P171" s="4" t="s">
        <v>59</v>
      </c>
      <c r="Q171" s="4" t="s">
        <v>56</v>
      </c>
      <c r="R171" s="64" t="s">
        <v>158</v>
      </c>
      <c r="S171" s="207" t="s">
        <v>53</v>
      </c>
    </row>
    <row r="172" spans="2:19" ht="33" hidden="1" customHeight="1">
      <c r="B172" s="265">
        <f>(C118+B118)*0.25*75</f>
        <v>57056.25</v>
      </c>
      <c r="D172" s="20">
        <v>27643.439999999999</v>
      </c>
      <c r="F172" s="20"/>
      <c r="G172" s="100">
        <f>H172*O172</f>
        <v>20751255</v>
      </c>
      <c r="H172" s="1">
        <f>27643+57056</f>
        <v>84699</v>
      </c>
      <c r="I172" s="40">
        <f>J172*O172</f>
        <v>13560995</v>
      </c>
      <c r="J172" s="49">
        <f>H172-N172</f>
        <v>55351</v>
      </c>
      <c r="K172" s="4"/>
      <c r="L172" s="4"/>
      <c r="M172" s="191">
        <f>N172*O172</f>
        <v>7190260</v>
      </c>
      <c r="N172" s="4">
        <v>29348</v>
      </c>
      <c r="O172" s="22">
        <v>245</v>
      </c>
      <c r="P172" s="4" t="s">
        <v>59</v>
      </c>
      <c r="Q172" s="4" t="s">
        <v>57</v>
      </c>
      <c r="R172" s="64" t="s">
        <v>158</v>
      </c>
      <c r="S172" s="207" t="s">
        <v>54</v>
      </c>
    </row>
    <row r="173" spans="2:19" ht="33" hidden="1" customHeight="1">
      <c r="B173" s="265">
        <f>(C118+B118)*0.25*150</f>
        <v>114112.5</v>
      </c>
      <c r="D173" s="20">
        <v>10067.700000000001</v>
      </c>
      <c r="F173" s="20"/>
      <c r="G173" s="100">
        <f>H173*O173</f>
        <v>1560385</v>
      </c>
      <c r="H173" s="1">
        <v>10067</v>
      </c>
      <c r="I173" s="40">
        <f>J173*O173</f>
        <v>91295</v>
      </c>
      <c r="J173" s="49">
        <f>H173-N173</f>
        <v>589</v>
      </c>
      <c r="K173" s="4"/>
      <c r="L173" s="4"/>
      <c r="M173" s="191">
        <f>N173*O173</f>
        <v>1469090</v>
      </c>
      <c r="N173" s="4">
        <v>9478</v>
      </c>
      <c r="O173" s="22">
        <v>155</v>
      </c>
      <c r="P173" s="4" t="s">
        <v>59</v>
      </c>
      <c r="Q173" s="4" t="s">
        <v>58</v>
      </c>
      <c r="R173" s="64" t="s">
        <v>158</v>
      </c>
      <c r="S173" s="207" t="s">
        <v>55</v>
      </c>
    </row>
    <row r="174" spans="2:19" ht="33" hidden="1" customHeight="1">
      <c r="B174" s="265"/>
      <c r="D174" s="20">
        <v>10067.700000000001</v>
      </c>
      <c r="F174" s="20"/>
      <c r="G174" s="100">
        <f>H174*O174</f>
        <v>1258375</v>
      </c>
      <c r="H174" s="1">
        <v>10067</v>
      </c>
      <c r="I174" s="40">
        <f>J174*O174</f>
        <v>73625</v>
      </c>
      <c r="J174" s="49">
        <f>H174-N174</f>
        <v>589</v>
      </c>
      <c r="K174" s="4"/>
      <c r="L174" s="4"/>
      <c r="M174" s="191">
        <f>N174*O174</f>
        <v>1184750</v>
      </c>
      <c r="N174" s="4">
        <v>9478</v>
      </c>
      <c r="O174" s="22">
        <v>125</v>
      </c>
      <c r="P174" s="4" t="s">
        <v>59</v>
      </c>
      <c r="Q174" s="4" t="s">
        <v>113</v>
      </c>
      <c r="R174" s="64" t="s">
        <v>158</v>
      </c>
      <c r="S174" s="207" t="s">
        <v>112</v>
      </c>
    </row>
    <row r="175" spans="2:19" ht="33" hidden="1" customHeight="1">
      <c r="B175" s="265"/>
      <c r="D175" s="20">
        <v>3355.9</v>
      </c>
      <c r="F175" s="20"/>
      <c r="G175" s="100">
        <f>H175*O175</f>
        <v>369050</v>
      </c>
      <c r="H175" s="1">
        <v>3355</v>
      </c>
      <c r="I175" s="40">
        <f>J175*O175</f>
        <v>21560</v>
      </c>
      <c r="J175" s="49">
        <f>H175-N175</f>
        <v>196</v>
      </c>
      <c r="K175" s="4"/>
      <c r="L175" s="4"/>
      <c r="M175" s="191">
        <f>N175*O175</f>
        <v>347490</v>
      </c>
      <c r="N175" s="4">
        <v>3159</v>
      </c>
      <c r="O175" s="22">
        <v>110</v>
      </c>
      <c r="P175" s="4" t="s">
        <v>59</v>
      </c>
      <c r="Q175" s="4" t="s">
        <v>127</v>
      </c>
      <c r="R175" s="64" t="s">
        <v>158</v>
      </c>
      <c r="S175" s="207" t="s">
        <v>126</v>
      </c>
    </row>
    <row r="176" spans="2:19" s="178" customFormat="1" ht="33" hidden="1" customHeight="1" thickBot="1">
      <c r="B176" s="261"/>
      <c r="C176" s="264"/>
      <c r="D176" s="179"/>
      <c r="F176" s="179"/>
      <c r="G176" s="407">
        <f>SUM(G171:G175)</f>
        <v>48146595</v>
      </c>
      <c r="H176" s="408"/>
      <c r="I176" s="403">
        <f>SUM(I171:I175)</f>
        <v>25368345</v>
      </c>
      <c r="J176" s="403"/>
      <c r="K176" s="434">
        <f>SUM(K171:K175)</f>
        <v>0</v>
      </c>
      <c r="L176" s="434"/>
      <c r="M176" s="434">
        <f>SUM(M171:M175)</f>
        <v>22778250</v>
      </c>
      <c r="N176" s="434"/>
      <c r="O176" s="182"/>
      <c r="P176" s="181"/>
      <c r="Q176" s="181" t="s">
        <v>14</v>
      </c>
      <c r="R176" s="180"/>
      <c r="S176" s="221"/>
    </row>
    <row r="177" spans="4:28" ht="49.5" hidden="1" customHeight="1"/>
    <row r="178" spans="4:28" ht="49.5" hidden="1" customHeight="1"/>
    <row r="179" spans="4:28" ht="49.5" hidden="1" customHeight="1"/>
    <row r="180" spans="4:28" ht="49.5" hidden="1" customHeight="1">
      <c r="T180" s="3"/>
      <c r="U180" s="3"/>
      <c r="V180" s="3"/>
      <c r="W180" s="3"/>
      <c r="X180" s="3"/>
      <c r="Y180" s="3"/>
      <c r="Z180" s="14"/>
      <c r="AA180" s="14"/>
      <c r="AB180" s="12"/>
    </row>
    <row r="181" spans="4:28" ht="49.5" hidden="1" customHeight="1">
      <c r="T181" s="3"/>
      <c r="U181" s="3"/>
      <c r="V181" s="3"/>
      <c r="W181" s="3"/>
      <c r="X181" s="3"/>
      <c r="Y181" s="3"/>
      <c r="Z181" s="14"/>
      <c r="AA181" s="14"/>
      <c r="AB181" s="12"/>
    </row>
    <row r="182" spans="4:28" ht="49.5" hidden="1" customHeight="1">
      <c r="T182" s="3"/>
      <c r="U182" s="3"/>
      <c r="V182" s="3"/>
      <c r="W182" s="3"/>
      <c r="X182" s="3"/>
      <c r="Y182" s="3"/>
      <c r="Z182" s="14"/>
      <c r="AA182" s="14"/>
      <c r="AB182" s="12"/>
    </row>
    <row r="183" spans="4:28" ht="49.5" hidden="1" customHeight="1">
      <c r="T183" s="3"/>
      <c r="U183" s="3"/>
      <c r="V183" s="3"/>
      <c r="W183" s="3"/>
      <c r="X183" s="3"/>
      <c r="Y183" s="3"/>
      <c r="Z183" s="14"/>
      <c r="AA183" s="14"/>
      <c r="AB183" s="12"/>
    </row>
    <row r="184" spans="4:28" ht="49.5" hidden="1" customHeight="1">
      <c r="D184" s="25"/>
      <c r="F184" s="25"/>
      <c r="T184" s="3"/>
      <c r="U184" s="3"/>
      <c r="V184" s="3"/>
      <c r="W184" s="3"/>
      <c r="X184" s="3"/>
      <c r="Y184" s="3"/>
      <c r="Z184" s="14"/>
      <c r="AA184" s="14"/>
      <c r="AB184" s="12"/>
    </row>
    <row r="185" spans="4:28" ht="49.5" hidden="1" customHeight="1">
      <c r="T185" s="3"/>
      <c r="U185" s="3"/>
      <c r="V185" s="3"/>
      <c r="W185" s="3"/>
      <c r="X185" s="3"/>
      <c r="Y185" s="3"/>
      <c r="Z185" s="14"/>
      <c r="AA185" s="14"/>
      <c r="AB185" s="12"/>
    </row>
    <row r="186" spans="4:28" ht="49.5" hidden="1" customHeight="1">
      <c r="D186" s="26"/>
      <c r="F186" s="26"/>
      <c r="T186" s="3"/>
      <c r="U186" s="3"/>
      <c r="V186" s="3"/>
      <c r="W186" s="3"/>
      <c r="X186" s="3"/>
      <c r="Y186" s="3"/>
      <c r="Z186" s="14"/>
      <c r="AA186" s="14"/>
      <c r="AB186" s="12"/>
    </row>
    <row r="187" spans="4:28" ht="49.5" hidden="1" customHeight="1">
      <c r="T187" s="3"/>
      <c r="U187" s="3"/>
      <c r="V187" s="3"/>
      <c r="W187" s="3"/>
      <c r="X187" s="3"/>
      <c r="Y187" s="3"/>
      <c r="Z187" s="14"/>
      <c r="AA187" s="14"/>
      <c r="AB187" s="12"/>
    </row>
    <row r="188" spans="4:28" ht="49.5" hidden="1" customHeight="1">
      <c r="T188" s="3"/>
      <c r="U188" s="3"/>
      <c r="V188" s="3"/>
      <c r="W188" s="3"/>
      <c r="X188" s="3"/>
      <c r="Y188" s="3"/>
      <c r="Z188" s="14"/>
      <c r="AA188" s="14"/>
      <c r="AB188" s="12"/>
    </row>
    <row r="189" spans="4:28" ht="49.5" hidden="1" customHeight="1">
      <c r="T189" s="3"/>
      <c r="U189" s="3"/>
      <c r="V189" s="3"/>
      <c r="W189" s="3"/>
      <c r="X189" s="3"/>
      <c r="Y189" s="3"/>
      <c r="Z189" s="14"/>
      <c r="AA189" s="14"/>
      <c r="AB189" s="12"/>
    </row>
    <row r="190" spans="4:28" ht="49.5" hidden="1" customHeight="1">
      <c r="D190" s="16">
        <v>1.25</v>
      </c>
      <c r="F190" s="16">
        <v>1.25</v>
      </c>
      <c r="I190" s="33" t="s">
        <v>69</v>
      </c>
      <c r="J190" s="33" t="s">
        <v>67</v>
      </c>
      <c r="T190" s="3"/>
      <c r="U190" s="3"/>
      <c r="V190" s="3"/>
      <c r="W190" s="3"/>
      <c r="X190" s="3"/>
      <c r="Y190" s="3"/>
      <c r="Z190" s="14"/>
      <c r="AA190" s="14"/>
      <c r="AB190" s="12"/>
    </row>
    <row r="191" spans="4:28" ht="49.5" hidden="1" customHeight="1">
      <c r="D191" s="16" t="e">
        <f>G176+#REF!+#REF!+G164+#REF!+G156+#REF!+G133+G109+#REF!+G104+G92+#REF!+G48+G25+#REF!</f>
        <v>#REF!</v>
      </c>
      <c r="F191" s="16" t="e">
        <f>I176+#REF!+#REF!+I164+#REF!+I156+#REF!+I133+I109+#REF!+I104+I92+#REF!+I48+I25+#REF!</f>
        <v>#REF!</v>
      </c>
      <c r="I191" s="53" t="e">
        <f>K176+#REF!+#REF!+K164+#REF!+K156+#REF!+K133+K109+#REF!+K104+K92+#REF!+K48+K25+#REF!</f>
        <v>#REF!</v>
      </c>
      <c r="J191" s="33" t="e">
        <f>M176+#REF!+#REF!+M164+#REF!+#REF!+M133+M109+#REF!+M104+M92+M48+#REF!+M25+M156+#REF!</f>
        <v>#REF!</v>
      </c>
      <c r="T191" s="3"/>
      <c r="U191" s="3"/>
      <c r="V191" s="3"/>
      <c r="W191" s="3"/>
      <c r="X191" s="3"/>
      <c r="Y191" s="3"/>
      <c r="Z191" s="14"/>
      <c r="AA191" s="14"/>
      <c r="AB191" s="12"/>
    </row>
    <row r="192" spans="4:28" ht="49.5" customHeight="1">
      <c r="T192" s="3"/>
      <c r="U192" s="3"/>
      <c r="V192" s="3"/>
      <c r="W192" s="3"/>
      <c r="X192" s="3"/>
      <c r="Y192" s="3"/>
      <c r="Z192" s="14"/>
      <c r="AA192" s="14"/>
      <c r="AB192" s="12"/>
    </row>
    <row r="193" spans="20:28" ht="49.5" customHeight="1">
      <c r="T193" s="3"/>
      <c r="U193" s="3"/>
      <c r="V193" s="3"/>
      <c r="W193" s="3"/>
      <c r="X193" s="3"/>
      <c r="Y193" s="3"/>
      <c r="Z193" s="14"/>
      <c r="AA193" s="14"/>
      <c r="AB193" s="12"/>
    </row>
    <row r="194" spans="20:28" ht="49.5" customHeight="1">
      <c r="T194" s="3"/>
      <c r="U194" s="3"/>
      <c r="V194" s="3"/>
      <c r="W194" s="3"/>
      <c r="X194" s="3"/>
      <c r="Y194" s="3"/>
      <c r="Z194" s="14"/>
      <c r="AA194" s="14"/>
      <c r="AB194" s="12"/>
    </row>
    <row r="195" spans="20:28" ht="49.5" customHeight="1">
      <c r="T195" s="3"/>
      <c r="U195" s="3"/>
      <c r="V195" s="3"/>
      <c r="W195" s="3"/>
      <c r="X195" s="3"/>
      <c r="Y195" s="3"/>
      <c r="Z195" s="14"/>
      <c r="AA195" s="14"/>
      <c r="AB195" s="12"/>
    </row>
    <row r="196" spans="20:28" ht="49.5" customHeight="1">
      <c r="T196" s="3"/>
      <c r="U196" s="3"/>
      <c r="V196" s="3"/>
      <c r="W196" s="3"/>
      <c r="X196" s="3"/>
      <c r="Y196" s="3"/>
      <c r="Z196" s="14"/>
      <c r="AA196" s="14"/>
      <c r="AB196" s="12"/>
    </row>
    <row r="197" spans="20:28" ht="49.5" customHeight="1">
      <c r="Z197" s="12"/>
      <c r="AA197" s="12"/>
      <c r="AB197" s="12"/>
    </row>
    <row r="198" spans="20:28" ht="49.5" customHeight="1">
      <c r="Z198" s="12"/>
      <c r="AA198" s="12"/>
      <c r="AB198" s="12"/>
    </row>
    <row r="199" spans="20:28" ht="49.5" customHeight="1">
      <c r="Z199" s="12"/>
      <c r="AA199" s="12"/>
      <c r="AB199" s="12"/>
    </row>
    <row r="200" spans="20:28" ht="49.5" customHeight="1">
      <c r="Z200" s="12"/>
      <c r="AA200" s="12"/>
      <c r="AB200" s="12"/>
    </row>
    <row r="201" spans="20:28" ht="49.5" customHeight="1">
      <c r="Z201" s="12"/>
      <c r="AA201" s="12"/>
      <c r="AB201" s="12"/>
    </row>
    <row r="202" spans="20:28" ht="49.5" customHeight="1">
      <c r="Z202" s="12"/>
      <c r="AA202" s="12"/>
      <c r="AB202" s="12"/>
    </row>
    <row r="203" spans="20:28" ht="49.5" customHeight="1">
      <c r="Z203" s="12"/>
      <c r="AA203" s="12"/>
      <c r="AB203" s="12"/>
    </row>
    <row r="204" spans="20:28" ht="49.5" customHeight="1">
      <c r="Z204" s="12"/>
      <c r="AA204" s="12"/>
      <c r="AB204" s="12"/>
    </row>
    <row r="205" spans="20:28" ht="49.5" customHeight="1">
      <c r="Z205" s="12"/>
      <c r="AA205" s="12"/>
      <c r="AB205" s="12"/>
    </row>
    <row r="206" spans="20:28" ht="49.5" customHeight="1">
      <c r="Z206" s="12"/>
      <c r="AA206" s="12"/>
      <c r="AB206" s="12"/>
    </row>
    <row r="207" spans="20:28" ht="49.5" customHeight="1">
      <c r="Z207" s="12"/>
      <c r="AA207" s="12"/>
      <c r="AB207" s="12"/>
    </row>
    <row r="208" spans="20:28" ht="49.5" customHeight="1">
      <c r="Z208" s="12"/>
      <c r="AA208" s="12"/>
      <c r="AB208" s="12"/>
    </row>
    <row r="209" spans="26:28" ht="49.5" customHeight="1">
      <c r="Z209" s="12"/>
      <c r="AA209" s="12"/>
      <c r="AB209" s="12"/>
    </row>
    <row r="210" spans="26:28" ht="49.5" customHeight="1">
      <c r="Z210" s="12"/>
      <c r="AA210" s="12"/>
      <c r="AB210" s="12"/>
    </row>
  </sheetData>
  <mergeCells count="129">
    <mergeCell ref="G1:H1"/>
    <mergeCell ref="I1:J1"/>
    <mergeCell ref="D3:D4"/>
    <mergeCell ref="F3:F4"/>
    <mergeCell ref="G3:H3"/>
    <mergeCell ref="I3:J3"/>
    <mergeCell ref="K3:L3"/>
    <mergeCell ref="M3:N3"/>
    <mergeCell ref="O3:O4"/>
    <mergeCell ref="P3:P4"/>
    <mergeCell ref="Q3:Q4"/>
    <mergeCell ref="S3:S4"/>
    <mergeCell ref="I25:J25"/>
    <mergeCell ref="K25:L25"/>
    <mergeCell ref="M25:N25"/>
    <mergeCell ref="G27:H27"/>
    <mergeCell ref="I27:J27"/>
    <mergeCell ref="D30:D31"/>
    <mergeCell ref="F30:F31"/>
    <mergeCell ref="G30:H30"/>
    <mergeCell ref="I30:J30"/>
    <mergeCell ref="K30:L30"/>
    <mergeCell ref="M30:N30"/>
    <mergeCell ref="O30:O31"/>
    <mergeCell ref="P30:P31"/>
    <mergeCell ref="Q30:Q31"/>
    <mergeCell ref="S30:S31"/>
    <mergeCell ref="G48:H48"/>
    <mergeCell ref="I48:J48"/>
    <mergeCell ref="K48:L48"/>
    <mergeCell ref="M48:N48"/>
    <mergeCell ref="G50:H50"/>
    <mergeCell ref="I50:J50"/>
    <mergeCell ref="G68:H68"/>
    <mergeCell ref="I68:J68"/>
    <mergeCell ref="K68:L68"/>
    <mergeCell ref="M68:N68"/>
    <mergeCell ref="G70:H70"/>
    <mergeCell ref="I70:J70"/>
    <mergeCell ref="D73:D74"/>
    <mergeCell ref="F73:F74"/>
    <mergeCell ref="G73:H73"/>
    <mergeCell ref="I73:J73"/>
    <mergeCell ref="K73:L73"/>
    <mergeCell ref="M73:N73"/>
    <mergeCell ref="O73:O74"/>
    <mergeCell ref="P73:P74"/>
    <mergeCell ref="Q73:Q74"/>
    <mergeCell ref="S73:S74"/>
    <mergeCell ref="G79:H79"/>
    <mergeCell ref="I79:J79"/>
    <mergeCell ref="M79:N79"/>
    <mergeCell ref="G92:H92"/>
    <mergeCell ref="I92:J92"/>
    <mergeCell ref="K92:L92"/>
    <mergeCell ref="M92:N92"/>
    <mergeCell ref="G94:H94"/>
    <mergeCell ref="I94:J94"/>
    <mergeCell ref="D97:D98"/>
    <mergeCell ref="F97:F98"/>
    <mergeCell ref="G97:H97"/>
    <mergeCell ref="I97:J97"/>
    <mergeCell ref="K97:L97"/>
    <mergeCell ref="M97:N97"/>
    <mergeCell ref="O97:O98"/>
    <mergeCell ref="P97:P98"/>
    <mergeCell ref="Q97:Q98"/>
    <mergeCell ref="S97:S98"/>
    <mergeCell ref="G104:H104"/>
    <mergeCell ref="I104:J104"/>
    <mergeCell ref="K104:L104"/>
    <mergeCell ref="M104:N104"/>
    <mergeCell ref="O104:P104"/>
    <mergeCell ref="G109:H109"/>
    <mergeCell ref="I109:J109"/>
    <mergeCell ref="K109:L109"/>
    <mergeCell ref="M109:N109"/>
    <mergeCell ref="G111:H111"/>
    <mergeCell ref="I111:J111"/>
    <mergeCell ref="D114:D115"/>
    <mergeCell ref="F114:F115"/>
    <mergeCell ref="G114:H114"/>
    <mergeCell ref="I114:J114"/>
    <mergeCell ref="K114:L114"/>
    <mergeCell ref="M114:N114"/>
    <mergeCell ref="O114:O115"/>
    <mergeCell ref="P114:P115"/>
    <mergeCell ref="Q114:Q115"/>
    <mergeCell ref="S114:S115"/>
    <mergeCell ref="G133:H133"/>
    <mergeCell ref="I133:J133"/>
    <mergeCell ref="K133:L133"/>
    <mergeCell ref="M133:N133"/>
    <mergeCell ref="G135:H135"/>
    <mergeCell ref="I135:J135"/>
    <mergeCell ref="S138:S139"/>
    <mergeCell ref="G143:H143"/>
    <mergeCell ref="I143:J143"/>
    <mergeCell ref="K143:L143"/>
    <mergeCell ref="M143:N143"/>
    <mergeCell ref="D138:D139"/>
    <mergeCell ref="F138:F139"/>
    <mergeCell ref="G138:H138"/>
    <mergeCell ref="I138:J138"/>
    <mergeCell ref="K138:L138"/>
    <mergeCell ref="P1:Q1"/>
    <mergeCell ref="G176:H176"/>
    <mergeCell ref="I176:J176"/>
    <mergeCell ref="K176:L176"/>
    <mergeCell ref="M176:N176"/>
    <mergeCell ref="G164:H164"/>
    <mergeCell ref="I164:J164"/>
    <mergeCell ref="K164:L164"/>
    <mergeCell ref="M164:N164"/>
    <mergeCell ref="G169:H169"/>
    <mergeCell ref="I169:J169"/>
    <mergeCell ref="O156:P156"/>
    <mergeCell ref="G159:H159"/>
    <mergeCell ref="I159:J159"/>
    <mergeCell ref="O138:O139"/>
    <mergeCell ref="P138:P139"/>
    <mergeCell ref="Q138:Q139"/>
    <mergeCell ref="M138:N138"/>
    <mergeCell ref="K169:L169"/>
    <mergeCell ref="M169:N169"/>
    <mergeCell ref="G156:H156"/>
    <mergeCell ref="I156:J156"/>
    <mergeCell ref="K156:L156"/>
    <mergeCell ref="M156:N156"/>
  </mergeCells>
  <printOptions horizontalCentered="1"/>
  <pageMargins left="0" right="0" top="0.78740157480314965" bottom="0.98425196850393704" header="0.39370078740157483" footer="0.59055118110236227"/>
  <pageSetup paperSize="9" scale="87"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topLeftCell="F1" zoomScaleNormal="90" zoomScaleSheetLayoutView="100" workbookViewId="0">
      <selection activeCell="I6" sqref="I6"/>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7.28515625" style="16" bestFit="1" customWidth="1"/>
    <col min="7" max="7" width="14.85546875" style="95" customWidth="1"/>
    <col min="8" max="8" width="14.28515625" style="16" customWidth="1"/>
    <col min="9" max="9" width="13.140625" style="33" customWidth="1"/>
    <col min="10" max="10" width="10.7109375"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9" t="s">
        <v>142</v>
      </c>
      <c r="K4" s="357" t="s">
        <v>4</v>
      </c>
      <c r="L4" s="357" t="s">
        <v>3</v>
      </c>
      <c r="M4" s="100" t="s">
        <v>141</v>
      </c>
      <c r="N4" s="357" t="s">
        <v>140</v>
      </c>
      <c r="O4" s="429"/>
      <c r="P4" s="388"/>
      <c r="Q4" s="388"/>
      <c r="R4" s="2"/>
      <c r="S4" s="421"/>
    </row>
    <row r="5" spans="2:19" ht="23.25" customHeight="1" thickBot="1">
      <c r="D5" s="85"/>
      <c r="F5" s="176"/>
      <c r="G5" s="145"/>
      <c r="H5" s="136"/>
      <c r="I5" s="146"/>
      <c r="J5" s="146"/>
      <c r="K5" s="136"/>
      <c r="L5" s="136"/>
      <c r="M5" s="145" t="s">
        <v>381</v>
      </c>
      <c r="N5" s="136"/>
      <c r="O5" s="136"/>
      <c r="P5" s="436" t="s">
        <v>470</v>
      </c>
      <c r="Q5" s="436"/>
      <c r="R5" s="42"/>
      <c r="S5" s="220"/>
    </row>
    <row r="6" spans="2:19" ht="33" customHeight="1">
      <c r="B6" s="259" t="s">
        <v>264</v>
      </c>
      <c r="C6" s="3" t="s">
        <v>279</v>
      </c>
      <c r="D6" s="35">
        <v>521.12</v>
      </c>
      <c r="F6" s="35"/>
      <c r="G6" s="269">
        <f>(N6-J6)*O6</f>
        <v>19712000</v>
      </c>
      <c r="H6" s="269"/>
      <c r="I6" s="269">
        <f t="shared" ref="I6:I16" si="0">J6*O6</f>
        <v>0</v>
      </c>
      <c r="J6" s="49">
        <v>0</v>
      </c>
      <c r="K6" s="6"/>
      <c r="L6" s="28"/>
      <c r="M6" s="269">
        <f t="shared" ref="M6:M16" si="1">N6*O6</f>
        <v>19712000</v>
      </c>
      <c r="N6" s="6">
        <v>128</v>
      </c>
      <c r="O6" s="22">
        <v>154000</v>
      </c>
      <c r="P6" s="6" t="s">
        <v>64</v>
      </c>
      <c r="Q6" s="6" t="s">
        <v>353</v>
      </c>
      <c r="R6" s="63" t="s">
        <v>158</v>
      </c>
      <c r="S6" s="34" t="s">
        <v>352</v>
      </c>
    </row>
    <row r="7" spans="2:19" ht="33" customHeight="1">
      <c r="D7" s="35"/>
      <c r="F7" s="35"/>
      <c r="G7" s="269"/>
      <c r="H7" s="269">
        <f>I7</f>
        <v>15476560</v>
      </c>
      <c r="I7" s="269">
        <f>J7*O7</f>
        <v>15476560</v>
      </c>
      <c r="J7" s="49">
        <v>179.96</v>
      </c>
      <c r="K7" s="6"/>
      <c r="L7" s="28"/>
      <c r="M7" s="269">
        <v>0</v>
      </c>
      <c r="N7" s="6">
        <v>0</v>
      </c>
      <c r="O7" s="359">
        <v>86000</v>
      </c>
      <c r="P7" s="6" t="s">
        <v>82</v>
      </c>
      <c r="Q7" s="6" t="s">
        <v>510</v>
      </c>
      <c r="R7" s="63" t="s">
        <v>158</v>
      </c>
      <c r="S7" s="358" t="s">
        <v>509</v>
      </c>
    </row>
    <row r="8" spans="2:19" ht="33" customHeight="1">
      <c r="B8" s="259">
        <v>500</v>
      </c>
      <c r="D8" s="35"/>
      <c r="F8" s="35"/>
      <c r="G8" s="269"/>
      <c r="H8" s="269">
        <f t="shared" ref="H8:H9" si="2">(J8-N8)*O8</f>
        <v>39053750</v>
      </c>
      <c r="I8" s="269">
        <f t="shared" si="0"/>
        <v>53026750</v>
      </c>
      <c r="J8" s="49">
        <v>337.75</v>
      </c>
      <c r="K8" s="6"/>
      <c r="L8" s="28"/>
      <c r="M8" s="269">
        <f t="shared" si="1"/>
        <v>13973000</v>
      </c>
      <c r="N8" s="6">
        <v>89</v>
      </c>
      <c r="O8" s="22">
        <v>157000</v>
      </c>
      <c r="P8" s="6" t="s">
        <v>64</v>
      </c>
      <c r="Q8" s="6" t="s">
        <v>372</v>
      </c>
      <c r="R8" s="63" t="s">
        <v>158</v>
      </c>
      <c r="S8" s="34" t="s">
        <v>371</v>
      </c>
    </row>
    <row r="9" spans="2:19" ht="33" customHeight="1">
      <c r="B9" s="259">
        <v>300</v>
      </c>
      <c r="D9" s="20"/>
      <c r="F9" s="20"/>
      <c r="G9" s="269"/>
      <c r="H9" s="269">
        <f t="shared" si="2"/>
        <v>85033800</v>
      </c>
      <c r="I9" s="269">
        <f t="shared" si="0"/>
        <v>85033800</v>
      </c>
      <c r="J9" s="49">
        <v>488.7</v>
      </c>
      <c r="K9" s="6"/>
      <c r="L9" s="28"/>
      <c r="M9" s="269">
        <f t="shared" si="1"/>
        <v>0</v>
      </c>
      <c r="N9" s="6">
        <v>0</v>
      </c>
      <c r="O9" s="22">
        <v>174000</v>
      </c>
      <c r="P9" s="6" t="s">
        <v>82</v>
      </c>
      <c r="Q9" s="6" t="s">
        <v>512</v>
      </c>
      <c r="R9" s="63" t="s">
        <v>158</v>
      </c>
      <c r="S9" s="34" t="s">
        <v>511</v>
      </c>
    </row>
    <row r="10" spans="2:19" ht="33" customHeight="1">
      <c r="B10" s="259">
        <v>1050</v>
      </c>
      <c r="D10" s="20">
        <v>521.12</v>
      </c>
      <c r="F10" s="20"/>
      <c r="G10" s="269"/>
      <c r="H10" s="269"/>
      <c r="I10" s="269">
        <f t="shared" si="0"/>
        <v>0</v>
      </c>
      <c r="J10" s="49"/>
      <c r="K10" s="6"/>
      <c r="L10" s="6"/>
      <c r="M10" s="269">
        <f t="shared" si="1"/>
        <v>0</v>
      </c>
      <c r="N10" s="6"/>
      <c r="O10" s="22"/>
      <c r="P10" s="6"/>
      <c r="Q10" s="6"/>
      <c r="R10" s="63"/>
      <c r="S10" s="34"/>
    </row>
    <row r="11" spans="2:19" ht="33" customHeight="1">
      <c r="B11" s="259" t="s">
        <v>257</v>
      </c>
      <c r="C11" s="3" t="s">
        <v>280</v>
      </c>
      <c r="D11" s="20">
        <v>496.94</v>
      </c>
      <c r="F11" s="20"/>
      <c r="G11" s="269"/>
      <c r="H11" s="269"/>
      <c r="I11" s="269">
        <f t="shared" si="0"/>
        <v>0</v>
      </c>
      <c r="J11" s="49"/>
      <c r="K11" s="6"/>
      <c r="L11" s="6"/>
      <c r="M11" s="269">
        <f t="shared" si="1"/>
        <v>0</v>
      </c>
      <c r="N11" s="6"/>
      <c r="O11" s="22"/>
      <c r="P11" s="6"/>
      <c r="Q11" s="6"/>
      <c r="R11" s="63"/>
      <c r="S11" s="38"/>
    </row>
    <row r="12" spans="2:19" ht="33" hidden="1" customHeight="1">
      <c r="D12" s="20"/>
      <c r="F12" s="20"/>
      <c r="G12" s="98"/>
      <c r="H12" s="49"/>
      <c r="I12" s="40">
        <f t="shared" si="0"/>
        <v>0</v>
      </c>
      <c r="J12" s="49"/>
      <c r="K12" s="6"/>
      <c r="L12" s="6"/>
      <c r="M12" s="269">
        <f t="shared" si="1"/>
        <v>0</v>
      </c>
      <c r="N12" s="6"/>
      <c r="O12" s="22"/>
      <c r="P12" s="6"/>
      <c r="Q12" s="6"/>
      <c r="R12" s="63"/>
      <c r="S12" s="38"/>
    </row>
    <row r="13" spans="2:19" ht="33" hidden="1" customHeight="1">
      <c r="D13" s="57"/>
      <c r="F13" s="57"/>
      <c r="G13" s="337">
        <f>SUM(G6:G12)</f>
        <v>19712000</v>
      </c>
      <c r="H13" s="337">
        <f>SUM(H6:H12)</f>
        <v>139564110</v>
      </c>
      <c r="I13" s="40">
        <f t="shared" si="0"/>
        <v>0</v>
      </c>
      <c r="J13" s="270"/>
      <c r="K13" s="7"/>
      <c r="L13" s="7"/>
      <c r="M13" s="269">
        <f t="shared" si="1"/>
        <v>0</v>
      </c>
      <c r="N13" s="7"/>
      <c r="O13" s="60"/>
      <c r="P13" s="6"/>
      <c r="Q13" s="7"/>
      <c r="R13" s="63"/>
      <c r="S13" s="61"/>
    </row>
    <row r="14" spans="2:19" ht="38.25" hidden="1" customHeight="1">
      <c r="D14" s="57"/>
      <c r="F14" s="57"/>
      <c r="G14" s="98">
        <f t="shared" ref="G14:G16" si="3">H14*O14</f>
        <v>0</v>
      </c>
      <c r="H14" s="270"/>
      <c r="I14" s="40">
        <f t="shared" si="0"/>
        <v>0</v>
      </c>
      <c r="J14" s="270"/>
      <c r="K14" s="7"/>
      <c r="L14" s="7"/>
      <c r="M14" s="269">
        <f t="shared" si="1"/>
        <v>0</v>
      </c>
      <c r="N14" s="7"/>
      <c r="O14" s="60"/>
      <c r="P14" s="7"/>
      <c r="Q14" s="7"/>
      <c r="R14" s="63"/>
      <c r="S14" s="61"/>
    </row>
    <row r="15" spans="2:19" ht="33" hidden="1" customHeight="1">
      <c r="D15" s="57"/>
      <c r="F15" s="57"/>
      <c r="G15" s="98">
        <f t="shared" si="3"/>
        <v>0</v>
      </c>
      <c r="H15" s="270"/>
      <c r="I15" s="40">
        <f t="shared" si="0"/>
        <v>0</v>
      </c>
      <c r="J15" s="270"/>
      <c r="K15" s="7"/>
      <c r="L15" s="7"/>
      <c r="M15" s="269">
        <f t="shared" si="1"/>
        <v>0</v>
      </c>
      <c r="N15" s="7"/>
      <c r="O15" s="60"/>
      <c r="P15" s="7"/>
      <c r="Q15" s="7"/>
      <c r="R15" s="63"/>
      <c r="S15" s="61"/>
    </row>
    <row r="16" spans="2:19" ht="33" hidden="1" customHeight="1">
      <c r="D16" s="57"/>
      <c r="F16" s="57"/>
      <c r="G16" s="98">
        <f t="shared" si="3"/>
        <v>0</v>
      </c>
      <c r="H16" s="270"/>
      <c r="I16" s="40">
        <f t="shared" si="0"/>
        <v>0</v>
      </c>
      <c r="J16" s="270"/>
      <c r="K16" s="7"/>
      <c r="L16" s="7"/>
      <c r="M16" s="269">
        <f t="shared" si="1"/>
        <v>0</v>
      </c>
      <c r="N16" s="7"/>
      <c r="O16" s="60"/>
      <c r="P16" s="7"/>
      <c r="Q16" s="7"/>
      <c r="R16" s="63"/>
      <c r="S16" s="61"/>
    </row>
    <row r="17" spans="2:20" ht="49.5" customHeight="1" thickBot="1">
      <c r="D17" s="116"/>
      <c r="F17" s="116"/>
      <c r="G17" s="337">
        <f>SUM(G6:G11)</f>
        <v>19712000</v>
      </c>
      <c r="H17" s="337">
        <f>SUM(H6:H11)</f>
        <v>139564110</v>
      </c>
      <c r="I17" s="402">
        <f>SUM(I6:I16)</f>
        <v>153537110</v>
      </c>
      <c r="J17" s="402"/>
      <c r="K17" s="400">
        <f>SUM(K6:K10)</f>
        <v>0</v>
      </c>
      <c r="L17" s="400"/>
      <c r="M17" s="400">
        <f>SUM(M6:M16)</f>
        <v>33685000</v>
      </c>
      <c r="N17" s="400"/>
      <c r="O17" s="39"/>
      <c r="P17" s="115"/>
      <c r="Q17" s="115" t="s">
        <v>60</v>
      </c>
      <c r="R17" s="8"/>
      <c r="S17" s="206"/>
    </row>
    <row r="18" spans="2:20" ht="49.5" customHeight="1">
      <c r="D18" s="13"/>
      <c r="F18" s="13"/>
      <c r="G18" s="99"/>
      <c r="H18" s="37"/>
      <c r="I18" s="50"/>
      <c r="J18" s="50"/>
      <c r="K18" s="37"/>
      <c r="L18" s="37"/>
      <c r="M18" s="99"/>
      <c r="N18" s="37"/>
      <c r="O18" s="24"/>
      <c r="P18" s="9"/>
      <c r="Q18" s="9"/>
      <c r="R18" s="9"/>
      <c r="S18" s="208"/>
    </row>
    <row r="19" spans="2:20" ht="23.25" hidden="1" customHeight="1">
      <c r="D19" s="77"/>
      <c r="F19" s="173"/>
      <c r="G19" s="382" t="s">
        <v>300</v>
      </c>
      <c r="H19" s="382"/>
      <c r="I19" s="382" t="s">
        <v>145</v>
      </c>
      <c r="J19" s="382"/>
      <c r="K19" s="78"/>
      <c r="L19" s="78"/>
      <c r="M19" s="199"/>
      <c r="N19" s="78"/>
      <c r="O19" s="79"/>
      <c r="P19" s="78"/>
      <c r="Q19" s="80" t="s">
        <v>171</v>
      </c>
      <c r="R19" s="41"/>
      <c r="S19" s="219"/>
    </row>
    <row r="20" spans="2:20" ht="23.25" hidden="1" customHeight="1">
      <c r="D20" s="81"/>
      <c r="F20" s="174"/>
      <c r="G20" s="96"/>
      <c r="H20" s="82"/>
      <c r="I20" s="83"/>
      <c r="J20" s="143" t="s">
        <v>146</v>
      </c>
      <c r="K20" s="144"/>
      <c r="L20" s="144"/>
      <c r="M20" s="200"/>
      <c r="N20" s="144"/>
      <c r="O20" s="135"/>
      <c r="P20" s="144"/>
      <c r="Q20" s="84" t="s">
        <v>292</v>
      </c>
      <c r="R20" s="56"/>
      <c r="S20" s="175"/>
    </row>
    <row r="21" spans="2:20" ht="23.25" hidden="1" customHeight="1" thickBot="1">
      <c r="D21" s="85"/>
      <c r="F21" s="85"/>
      <c r="G21" s="145"/>
      <c r="H21" s="136"/>
      <c r="I21" s="146"/>
      <c r="J21" s="146"/>
      <c r="K21" s="136"/>
      <c r="L21" s="136"/>
      <c r="M21" s="145" t="s">
        <v>183</v>
      </c>
      <c r="N21" s="136"/>
      <c r="O21" s="136"/>
      <c r="P21" s="136"/>
      <c r="Q21" s="86" t="s">
        <v>184</v>
      </c>
      <c r="R21" s="42"/>
      <c r="S21" s="205"/>
    </row>
    <row r="22" spans="2:20" ht="25.5" hidden="1" customHeight="1">
      <c r="D22" s="385" t="s">
        <v>144</v>
      </c>
      <c r="F22" s="385" t="s">
        <v>144</v>
      </c>
      <c r="G22" s="406" t="s">
        <v>63</v>
      </c>
      <c r="H22" s="406"/>
      <c r="I22" s="409" t="s">
        <v>170</v>
      </c>
      <c r="J22" s="409"/>
      <c r="K22" s="401" t="s">
        <v>2</v>
      </c>
      <c r="L22" s="401"/>
      <c r="M22" s="401" t="s">
        <v>220</v>
      </c>
      <c r="N22" s="401"/>
      <c r="O22" s="426" t="s">
        <v>139</v>
      </c>
      <c r="P22" s="401" t="s">
        <v>1</v>
      </c>
      <c r="Q22" s="401" t="s">
        <v>138</v>
      </c>
      <c r="R22" s="62"/>
      <c r="S22" s="424" t="s">
        <v>0</v>
      </c>
    </row>
    <row r="23" spans="2:20" ht="25.5" hidden="1" customHeight="1">
      <c r="D23" s="386"/>
      <c r="F23" s="386"/>
      <c r="G23" s="97" t="s">
        <v>143</v>
      </c>
      <c r="H23" s="49" t="s">
        <v>142</v>
      </c>
      <c r="I23" s="49" t="s">
        <v>143</v>
      </c>
      <c r="J23" s="49" t="s">
        <v>142</v>
      </c>
      <c r="K23" s="1" t="s">
        <v>4</v>
      </c>
      <c r="L23" s="1" t="s">
        <v>3</v>
      </c>
      <c r="M23" s="100" t="s">
        <v>141</v>
      </c>
      <c r="N23" s="1" t="s">
        <v>140</v>
      </c>
      <c r="O23" s="427"/>
      <c r="P23" s="422"/>
      <c r="Q23" s="422"/>
      <c r="R23" s="2"/>
      <c r="S23" s="425"/>
    </row>
    <row r="24" spans="2:20" ht="30.75" hidden="1" customHeight="1">
      <c r="D24" s="111">
        <v>10848.34</v>
      </c>
      <c r="E24" s="109"/>
      <c r="F24" s="111"/>
      <c r="G24" s="100">
        <f t="shared" ref="G24:G39" si="4">H24*O24</f>
        <v>29289600</v>
      </c>
      <c r="H24" s="1">
        <v>10848</v>
      </c>
      <c r="I24" s="40">
        <f>J24*O24</f>
        <v>-9036900</v>
      </c>
      <c r="J24" s="49">
        <f>H24-N24</f>
        <v>-3347</v>
      </c>
      <c r="K24" s="6"/>
      <c r="L24" s="4"/>
      <c r="M24" s="191">
        <f t="shared" ref="M24:M39" si="5">N24*O24</f>
        <v>38326500</v>
      </c>
      <c r="N24" s="4">
        <v>14195</v>
      </c>
      <c r="O24" s="22">
        <v>2700</v>
      </c>
      <c r="P24" s="6" t="s">
        <v>35</v>
      </c>
      <c r="Q24" s="45" t="s">
        <v>152</v>
      </c>
      <c r="R24" s="63" t="s">
        <v>158</v>
      </c>
      <c r="S24" s="38" t="s">
        <v>71</v>
      </c>
      <c r="T24" s="30"/>
    </row>
    <row r="25" spans="2:20" ht="30.75" hidden="1" customHeight="1">
      <c r="D25" s="110">
        <v>1205.3599999999999</v>
      </c>
      <c r="E25" s="109"/>
      <c r="F25" s="110"/>
      <c r="G25" s="100">
        <f t="shared" si="4"/>
        <v>18195500</v>
      </c>
      <c r="H25" s="1">
        <v>1205</v>
      </c>
      <c r="I25" s="40">
        <f t="shared" ref="I25:I39" si="6">J25*O25</f>
        <v>18195500</v>
      </c>
      <c r="J25" s="49">
        <f t="shared" ref="J25:J38" si="7">H25-N25</f>
        <v>1205</v>
      </c>
      <c r="K25" s="6"/>
      <c r="L25" s="4"/>
      <c r="M25" s="191">
        <f t="shared" si="5"/>
        <v>0</v>
      </c>
      <c r="N25" s="4"/>
      <c r="O25" s="22">
        <v>15100</v>
      </c>
      <c r="P25" s="6" t="s">
        <v>35</v>
      </c>
      <c r="Q25" s="45" t="s">
        <v>73</v>
      </c>
      <c r="R25" s="63" t="s">
        <v>158</v>
      </c>
      <c r="S25" s="38" t="s">
        <v>72</v>
      </c>
      <c r="T25" s="30"/>
    </row>
    <row r="26" spans="2:20" ht="30.75" hidden="1" customHeight="1">
      <c r="B26" s="259">
        <v>1500</v>
      </c>
      <c r="D26" s="110">
        <v>1250</v>
      </c>
      <c r="E26" s="109"/>
      <c r="F26" s="110"/>
      <c r="G26" s="100">
        <f t="shared" si="4"/>
        <v>42900000</v>
      </c>
      <c r="H26" s="1">
        <f>1250+1500</f>
        <v>2750</v>
      </c>
      <c r="I26" s="40">
        <f t="shared" si="6"/>
        <v>42900000</v>
      </c>
      <c r="J26" s="49">
        <f t="shared" si="7"/>
        <v>2750</v>
      </c>
      <c r="K26" s="6"/>
      <c r="L26" s="4"/>
      <c r="M26" s="191">
        <f t="shared" si="5"/>
        <v>0</v>
      </c>
      <c r="N26" s="4"/>
      <c r="O26" s="22">
        <v>15600</v>
      </c>
      <c r="P26" s="6" t="s">
        <v>35</v>
      </c>
      <c r="Q26" s="45" t="s">
        <v>246</v>
      </c>
      <c r="R26" s="63" t="s">
        <v>158</v>
      </c>
      <c r="S26" s="38" t="s">
        <v>245</v>
      </c>
      <c r="T26" s="30"/>
    </row>
    <row r="27" spans="2:20" ht="30.75" hidden="1" customHeight="1">
      <c r="B27" s="259" t="s">
        <v>265</v>
      </c>
      <c r="C27" s="3" t="s">
        <v>281</v>
      </c>
      <c r="D27" s="110">
        <v>942</v>
      </c>
      <c r="E27" s="109"/>
      <c r="F27" s="110"/>
      <c r="G27" s="100">
        <f t="shared" si="4"/>
        <v>10413420</v>
      </c>
      <c r="H27" s="1">
        <f>942+1000*0.4+420</f>
        <v>1762</v>
      </c>
      <c r="I27" s="40">
        <f t="shared" si="6"/>
        <v>2139420</v>
      </c>
      <c r="J27" s="49">
        <f t="shared" si="7"/>
        <v>362</v>
      </c>
      <c r="K27" s="6"/>
      <c r="L27" s="4"/>
      <c r="M27" s="191">
        <f t="shared" si="5"/>
        <v>8274000</v>
      </c>
      <c r="N27" s="4">
        <v>1400</v>
      </c>
      <c r="O27" s="22">
        <v>5910</v>
      </c>
      <c r="P27" s="6" t="s">
        <v>35</v>
      </c>
      <c r="Q27" s="45" t="s">
        <v>75</v>
      </c>
      <c r="R27" s="63" t="s">
        <v>158</v>
      </c>
      <c r="S27" s="38" t="s">
        <v>74</v>
      </c>
      <c r="T27" s="30"/>
    </row>
    <row r="28" spans="2:20" ht="30.75" hidden="1" customHeight="1">
      <c r="B28" s="259" t="s">
        <v>266</v>
      </c>
      <c r="D28" s="110">
        <v>1152.5999999999999</v>
      </c>
      <c r="E28" s="109"/>
      <c r="F28" s="110"/>
      <c r="G28" s="100">
        <f t="shared" si="4"/>
        <v>40759200</v>
      </c>
      <c r="H28" s="1">
        <f>1152+2520</f>
        <v>3672</v>
      </c>
      <c r="I28" s="40">
        <f t="shared" si="6"/>
        <v>40759200</v>
      </c>
      <c r="J28" s="49">
        <f t="shared" si="7"/>
        <v>3672</v>
      </c>
      <c r="K28" s="6"/>
      <c r="L28" s="4"/>
      <c r="M28" s="191"/>
      <c r="N28" s="4"/>
      <c r="O28" s="22">
        <v>11100</v>
      </c>
      <c r="P28" s="6" t="s">
        <v>35</v>
      </c>
      <c r="Q28" s="45" t="s">
        <v>248</v>
      </c>
      <c r="R28" s="63" t="s">
        <v>158</v>
      </c>
      <c r="S28" s="38" t="s">
        <v>247</v>
      </c>
      <c r="T28" s="30"/>
    </row>
    <row r="29" spans="2:20" ht="30.75" hidden="1" customHeight="1">
      <c r="C29" s="3" t="s">
        <v>282</v>
      </c>
      <c r="D29" s="110">
        <v>1017.33</v>
      </c>
      <c r="E29" s="109"/>
      <c r="F29" s="110"/>
      <c r="G29" s="100">
        <f t="shared" si="4"/>
        <v>97239700</v>
      </c>
      <c r="H29" s="1">
        <f>1017+1000*0.5</f>
        <v>1517</v>
      </c>
      <c r="I29" s="40">
        <f t="shared" si="6"/>
        <v>-5320300</v>
      </c>
      <c r="J29" s="49">
        <f t="shared" si="7"/>
        <v>-83</v>
      </c>
      <c r="K29" s="6"/>
      <c r="L29" s="4"/>
      <c r="M29" s="191">
        <f t="shared" si="5"/>
        <v>102560000</v>
      </c>
      <c r="N29" s="4">
        <v>1600</v>
      </c>
      <c r="O29" s="22">
        <v>64100</v>
      </c>
      <c r="P29" s="6" t="s">
        <v>35</v>
      </c>
      <c r="Q29" s="45" t="s">
        <v>77</v>
      </c>
      <c r="R29" s="63" t="s">
        <v>158</v>
      </c>
      <c r="S29" s="38" t="s">
        <v>76</v>
      </c>
      <c r="T29" s="30"/>
    </row>
    <row r="30" spans="2:20" ht="30.75" hidden="1" customHeight="1">
      <c r="B30" s="259">
        <v>800</v>
      </c>
      <c r="D30" s="110"/>
      <c r="E30" s="109"/>
      <c r="F30" s="110"/>
      <c r="G30" s="100">
        <f t="shared" si="4"/>
        <v>740000</v>
      </c>
      <c r="H30" s="1">
        <v>800</v>
      </c>
      <c r="I30" s="40">
        <f t="shared" si="6"/>
        <v>740000</v>
      </c>
      <c r="J30" s="49">
        <f t="shared" si="7"/>
        <v>800</v>
      </c>
      <c r="K30" s="6"/>
      <c r="L30" s="4"/>
      <c r="M30" s="191">
        <f t="shared" si="5"/>
        <v>0</v>
      </c>
      <c r="N30" s="4"/>
      <c r="O30" s="22">
        <v>925</v>
      </c>
      <c r="P30" s="6" t="s">
        <v>35</v>
      </c>
      <c r="Q30" s="45" t="s">
        <v>80</v>
      </c>
      <c r="R30" s="63" t="s">
        <v>158</v>
      </c>
      <c r="S30" s="38" t="s">
        <v>78</v>
      </c>
      <c r="T30" s="30"/>
    </row>
    <row r="31" spans="2:20" ht="30.75" hidden="1" customHeight="1">
      <c r="D31" s="110"/>
      <c r="E31" s="109"/>
      <c r="F31" s="110"/>
      <c r="G31" s="100">
        <f t="shared" si="4"/>
        <v>2280000</v>
      </c>
      <c r="H31" s="1">
        <v>300</v>
      </c>
      <c r="I31" s="40">
        <f t="shared" si="6"/>
        <v>2280000</v>
      </c>
      <c r="J31" s="49">
        <f t="shared" si="7"/>
        <v>300</v>
      </c>
      <c r="K31" s="6"/>
      <c r="L31" s="4"/>
      <c r="M31" s="191">
        <f t="shared" si="5"/>
        <v>0</v>
      </c>
      <c r="N31" s="4"/>
      <c r="O31" s="22">
        <v>7600</v>
      </c>
      <c r="P31" s="6" t="s">
        <v>35</v>
      </c>
      <c r="Q31" s="45" t="s">
        <v>81</v>
      </c>
      <c r="R31" s="63" t="s">
        <v>158</v>
      </c>
      <c r="S31" s="38" t="s">
        <v>79</v>
      </c>
      <c r="T31" s="30"/>
    </row>
    <row r="32" spans="2:20" ht="30.75" hidden="1" customHeight="1">
      <c r="B32" s="259">
        <v>4200</v>
      </c>
      <c r="C32" s="3">
        <v>1000</v>
      </c>
      <c r="D32" s="110">
        <v>16823.82</v>
      </c>
      <c r="E32" s="109"/>
      <c r="F32" s="110"/>
      <c r="G32" s="100">
        <f t="shared" si="4"/>
        <v>66509460</v>
      </c>
      <c r="H32" s="203">
        <f>16823+1000+4200</f>
        <v>22023</v>
      </c>
      <c r="I32" s="40">
        <f t="shared" si="6"/>
        <v>57449460</v>
      </c>
      <c r="J32" s="49">
        <f t="shared" si="7"/>
        <v>19023</v>
      </c>
      <c r="K32" s="6"/>
      <c r="L32" s="4"/>
      <c r="M32" s="191">
        <f t="shared" si="5"/>
        <v>9060000</v>
      </c>
      <c r="N32" s="4">
        <v>3000</v>
      </c>
      <c r="O32" s="22">
        <v>3020</v>
      </c>
      <c r="P32" s="6" t="s">
        <v>35</v>
      </c>
      <c r="Q32" s="46" t="s">
        <v>41</v>
      </c>
      <c r="R32" s="63" t="s">
        <v>158</v>
      </c>
      <c r="S32" s="31" t="s">
        <v>37</v>
      </c>
      <c r="T32" s="29"/>
    </row>
    <row r="33" spans="2:20" ht="30.75" hidden="1" customHeight="1">
      <c r="B33" s="259" t="s">
        <v>267</v>
      </c>
      <c r="C33" s="3" t="s">
        <v>283</v>
      </c>
      <c r="D33" s="110">
        <v>67702.559999999998</v>
      </c>
      <c r="E33" s="109"/>
      <c r="F33" s="110"/>
      <c r="G33" s="100">
        <f t="shared" si="4"/>
        <v>23453030</v>
      </c>
      <c r="H33" s="1">
        <f>67702+4*1000+4200*4</f>
        <v>88502</v>
      </c>
      <c r="I33" s="40">
        <f t="shared" si="6"/>
        <v>20273030</v>
      </c>
      <c r="J33" s="49">
        <f t="shared" si="7"/>
        <v>76502</v>
      </c>
      <c r="K33" s="6"/>
      <c r="L33" s="4"/>
      <c r="M33" s="191">
        <f t="shared" si="5"/>
        <v>3180000</v>
      </c>
      <c r="N33" s="4">
        <v>12000</v>
      </c>
      <c r="O33" s="22">
        <v>265</v>
      </c>
      <c r="P33" s="6" t="s">
        <v>35</v>
      </c>
      <c r="Q33" s="46" t="s">
        <v>42</v>
      </c>
      <c r="R33" s="63" t="s">
        <v>158</v>
      </c>
      <c r="S33" s="31" t="s">
        <v>38</v>
      </c>
      <c r="T33" s="29"/>
    </row>
    <row r="34" spans="2:20" ht="30.75" hidden="1" customHeight="1">
      <c r="B34" s="259" t="s">
        <v>268</v>
      </c>
      <c r="C34" s="3" t="s">
        <v>284</v>
      </c>
      <c r="D34" s="110">
        <v>161360.4</v>
      </c>
      <c r="E34" s="109"/>
      <c r="F34" s="110"/>
      <c r="G34" s="100">
        <f t="shared" si="4"/>
        <v>183612800</v>
      </c>
      <c r="H34" s="1">
        <f>161360+5*1000+4200*5</f>
        <v>187360</v>
      </c>
      <c r="I34" s="40">
        <f t="shared" si="6"/>
        <v>4466840</v>
      </c>
      <c r="J34" s="49">
        <f t="shared" si="7"/>
        <v>4558</v>
      </c>
      <c r="K34" s="6"/>
      <c r="L34" s="4"/>
      <c r="M34" s="191">
        <f t="shared" si="5"/>
        <v>179145960</v>
      </c>
      <c r="N34" s="4">
        <v>182802</v>
      </c>
      <c r="O34" s="22">
        <v>980</v>
      </c>
      <c r="P34" s="6" t="s">
        <v>44</v>
      </c>
      <c r="Q34" s="46" t="s">
        <v>222</v>
      </c>
      <c r="R34" s="63" t="s">
        <v>158</v>
      </c>
      <c r="S34" s="31" t="s">
        <v>39</v>
      </c>
      <c r="T34" s="29"/>
    </row>
    <row r="35" spans="2:20" ht="30.75" hidden="1" customHeight="1">
      <c r="D35" s="110">
        <v>103500</v>
      </c>
      <c r="E35" s="109"/>
      <c r="F35" s="110"/>
      <c r="G35" s="100">
        <f t="shared" si="4"/>
        <v>92632500</v>
      </c>
      <c r="H35" s="1">
        <v>103500</v>
      </c>
      <c r="I35" s="40">
        <f t="shared" si="6"/>
        <v>-10292500</v>
      </c>
      <c r="J35" s="49">
        <f t="shared" si="7"/>
        <v>-11500</v>
      </c>
      <c r="K35" s="6"/>
      <c r="L35" s="4"/>
      <c r="M35" s="191">
        <f t="shared" si="5"/>
        <v>102925000</v>
      </c>
      <c r="N35" s="4">
        <v>115000</v>
      </c>
      <c r="O35" s="22">
        <v>895</v>
      </c>
      <c r="P35" s="6" t="s">
        <v>44</v>
      </c>
      <c r="Q35" s="46" t="s">
        <v>223</v>
      </c>
      <c r="R35" s="63" t="s">
        <v>158</v>
      </c>
      <c r="S35" s="31" t="s">
        <v>221</v>
      </c>
      <c r="T35" s="29"/>
    </row>
    <row r="36" spans="2:20" ht="30.75" hidden="1" customHeight="1">
      <c r="B36" s="259" t="s">
        <v>269</v>
      </c>
      <c r="C36" s="3" t="s">
        <v>285</v>
      </c>
      <c r="D36" s="110">
        <v>8037.38</v>
      </c>
      <c r="E36" s="109"/>
      <c r="F36" s="110"/>
      <c r="G36" s="100">
        <f t="shared" si="4"/>
        <v>14662800</v>
      </c>
      <c r="H36" s="1">
        <f>8037+780*0.5*5+2232</f>
        <v>12219</v>
      </c>
      <c r="I36" s="40">
        <f t="shared" si="6"/>
        <v>14662800</v>
      </c>
      <c r="J36" s="49">
        <f t="shared" si="7"/>
        <v>12219</v>
      </c>
      <c r="K36" s="6"/>
      <c r="L36" s="4"/>
      <c r="M36" s="191">
        <f t="shared" si="5"/>
        <v>0</v>
      </c>
      <c r="N36" s="4"/>
      <c r="O36" s="105">
        <v>1200</v>
      </c>
      <c r="P36" s="10" t="s">
        <v>44</v>
      </c>
      <c r="Q36" s="47" t="s">
        <v>43</v>
      </c>
      <c r="R36" s="63" t="s">
        <v>158</v>
      </c>
      <c r="S36" s="31" t="s">
        <v>40</v>
      </c>
      <c r="T36" s="29"/>
    </row>
    <row r="37" spans="2:20" ht="30.75" hidden="1" customHeight="1">
      <c r="D37" s="110">
        <v>23833.7</v>
      </c>
      <c r="E37" s="109"/>
      <c r="F37" s="110"/>
      <c r="G37" s="100">
        <f t="shared" si="4"/>
        <v>412300000</v>
      </c>
      <c r="H37" s="1">
        <f>H39+H137</f>
        <v>11780</v>
      </c>
      <c r="I37" s="40">
        <f t="shared" si="6"/>
        <v>-791420000</v>
      </c>
      <c r="J37" s="49">
        <f t="shared" si="7"/>
        <v>-22612</v>
      </c>
      <c r="K37" s="6"/>
      <c r="L37" s="4"/>
      <c r="M37" s="192">
        <f t="shared" si="5"/>
        <v>1203720000</v>
      </c>
      <c r="N37" s="4">
        <v>34392</v>
      </c>
      <c r="O37" s="105">
        <v>35000</v>
      </c>
      <c r="P37" s="6" t="s">
        <v>35</v>
      </c>
      <c r="Q37" s="48" t="s">
        <v>225</v>
      </c>
      <c r="R37" s="63" t="s">
        <v>158</v>
      </c>
      <c r="S37" s="31" t="s">
        <v>224</v>
      </c>
      <c r="T37" s="29"/>
    </row>
    <row r="38" spans="2:20" ht="30.75" hidden="1" customHeight="1">
      <c r="D38" s="112"/>
      <c r="E38" s="109"/>
      <c r="F38" s="112"/>
      <c r="G38" s="100">
        <f t="shared" si="4"/>
        <v>2060000</v>
      </c>
      <c r="H38" s="1">
        <v>4000</v>
      </c>
      <c r="I38" s="40">
        <f t="shared" si="6"/>
        <v>2060000</v>
      </c>
      <c r="J38" s="49">
        <f t="shared" si="7"/>
        <v>4000</v>
      </c>
      <c r="K38" s="6"/>
      <c r="L38" s="4"/>
      <c r="M38" s="191">
        <f t="shared" si="5"/>
        <v>0</v>
      </c>
      <c r="N38" s="4"/>
      <c r="O38" s="105">
        <v>515</v>
      </c>
      <c r="P38" s="6" t="s">
        <v>35</v>
      </c>
      <c r="Q38" s="48" t="s">
        <v>154</v>
      </c>
      <c r="R38" s="63" t="s">
        <v>158</v>
      </c>
      <c r="S38" s="31" t="s">
        <v>153</v>
      </c>
      <c r="T38" s="29"/>
    </row>
    <row r="39" spans="2:20" ht="30.75" hidden="1" customHeight="1">
      <c r="D39" s="122">
        <v>4500</v>
      </c>
      <c r="E39" s="109"/>
      <c r="F39" s="122"/>
      <c r="G39" s="100">
        <f t="shared" si="4"/>
        <v>306000000</v>
      </c>
      <c r="H39" s="224">
        <v>4500</v>
      </c>
      <c r="I39" s="40">
        <f t="shared" si="6"/>
        <v>-34000000</v>
      </c>
      <c r="J39" s="49">
        <f>H39-N39</f>
        <v>-500</v>
      </c>
      <c r="K39" s="7"/>
      <c r="L39" s="59"/>
      <c r="M39" s="191">
        <f t="shared" si="5"/>
        <v>340000000</v>
      </c>
      <c r="N39" s="59">
        <v>5000</v>
      </c>
      <c r="O39" s="225">
        <v>68000</v>
      </c>
      <c r="P39" s="6" t="s">
        <v>35</v>
      </c>
      <c r="Q39" s="226" t="s">
        <v>227</v>
      </c>
      <c r="R39" s="63" t="s">
        <v>158</v>
      </c>
      <c r="S39" s="227" t="s">
        <v>226</v>
      </c>
      <c r="T39" s="29"/>
    </row>
    <row r="40" spans="2:20" ht="34.5" hidden="1" customHeight="1" thickBot="1">
      <c r="D40" s="118"/>
      <c r="E40" s="109"/>
      <c r="F40" s="118"/>
      <c r="G40" s="397">
        <f>SUM(G24:G39)</f>
        <v>1343048010</v>
      </c>
      <c r="H40" s="398"/>
      <c r="I40" s="402">
        <f>SUM(I24:I39)</f>
        <v>-644143450</v>
      </c>
      <c r="J40" s="402"/>
      <c r="K40" s="400">
        <f>SUM(K24:K38)</f>
        <v>0</v>
      </c>
      <c r="L40" s="400"/>
      <c r="M40" s="400">
        <f>SUM(M24:M39)</f>
        <v>1987191460</v>
      </c>
      <c r="N40" s="400"/>
      <c r="O40" s="119"/>
      <c r="P40" s="117"/>
      <c r="Q40" s="114" t="s">
        <v>5</v>
      </c>
      <c r="R40" s="8" t="s">
        <v>158</v>
      </c>
      <c r="S40" s="209"/>
      <c r="T40" s="29"/>
    </row>
    <row r="41" spans="2:20" ht="49.5" hidden="1" customHeight="1" thickBot="1">
      <c r="D41" s="13"/>
      <c r="F41" s="13"/>
      <c r="G41" s="101"/>
      <c r="H41" s="44"/>
      <c r="I41" s="51"/>
      <c r="J41" s="51"/>
      <c r="K41" s="44"/>
      <c r="L41" s="44"/>
      <c r="M41" s="101"/>
      <c r="N41" s="44"/>
      <c r="O41" s="106"/>
      <c r="P41" s="44"/>
      <c r="Q41" s="19"/>
      <c r="R41" s="70"/>
      <c r="S41" s="210"/>
      <c r="T41" s="29"/>
    </row>
    <row r="42" spans="2:20" ht="23.25" hidden="1" customHeight="1">
      <c r="D42" s="173"/>
      <c r="F42" s="173"/>
      <c r="G42" s="382" t="s">
        <v>300</v>
      </c>
      <c r="H42" s="382"/>
      <c r="I42" s="382" t="s">
        <v>145</v>
      </c>
      <c r="J42" s="382"/>
      <c r="K42" s="78"/>
      <c r="L42" s="78"/>
      <c r="M42" s="199"/>
      <c r="N42" s="78"/>
      <c r="O42" s="79"/>
      <c r="P42" s="78"/>
      <c r="Q42" s="80" t="s">
        <v>171</v>
      </c>
      <c r="R42" s="41"/>
      <c r="S42" s="219"/>
    </row>
    <row r="43" spans="2:20" ht="23.25" hidden="1" customHeight="1">
      <c r="D43" s="174"/>
      <c r="F43" s="174"/>
      <c r="G43" s="96"/>
      <c r="H43" s="82"/>
      <c r="I43" s="83"/>
      <c r="J43" s="143" t="s">
        <v>146</v>
      </c>
      <c r="K43" s="144"/>
      <c r="L43" s="144"/>
      <c r="M43" s="200"/>
      <c r="N43" s="144"/>
      <c r="O43" s="135"/>
      <c r="P43" s="144"/>
      <c r="Q43" s="84" t="s">
        <v>292</v>
      </c>
      <c r="R43" s="56"/>
      <c r="S43" s="175"/>
    </row>
    <row r="44" spans="2:20" ht="25.5" hidden="1" customHeight="1" thickBot="1">
      <c r="D44" s="176"/>
      <c r="F44" s="176"/>
      <c r="G44" s="145"/>
      <c r="H44" s="136"/>
      <c r="I44" s="146"/>
      <c r="J44" s="146"/>
      <c r="K44" s="136"/>
      <c r="L44" s="136"/>
      <c r="M44" s="145" t="s">
        <v>183</v>
      </c>
      <c r="N44" s="136"/>
      <c r="O44" s="136"/>
      <c r="P44" s="136"/>
      <c r="Q44" s="86" t="s">
        <v>185</v>
      </c>
      <c r="R44" s="42"/>
      <c r="S44" s="220"/>
    </row>
    <row r="45" spans="2:20" ht="25.5" hidden="1" customHeight="1">
      <c r="C45" s="3" t="s">
        <v>288</v>
      </c>
      <c r="D45" s="249">
        <v>462.4</v>
      </c>
      <c r="F45" s="249"/>
      <c r="G45" s="250">
        <f>H45*O45</f>
        <v>44737000</v>
      </c>
      <c r="H45" s="251">
        <f>462+100*7</f>
        <v>1162</v>
      </c>
      <c r="I45" s="40">
        <f>J45*O45</f>
        <v>42427000</v>
      </c>
      <c r="J45" s="268">
        <f>H45-N45</f>
        <v>1102</v>
      </c>
      <c r="K45" s="251"/>
      <c r="L45" s="251"/>
      <c r="M45" s="252">
        <f>N45*O45</f>
        <v>2310000</v>
      </c>
      <c r="N45" s="253">
        <v>60</v>
      </c>
      <c r="O45" s="254">
        <v>38500</v>
      </c>
      <c r="P45" s="255" t="s">
        <v>187</v>
      </c>
      <c r="Q45" s="256" t="s">
        <v>229</v>
      </c>
      <c r="R45" s="257"/>
      <c r="S45" s="258" t="s">
        <v>228</v>
      </c>
    </row>
    <row r="46" spans="2:20" ht="30.75" hidden="1" customHeight="1">
      <c r="B46" s="259">
        <v>1099</v>
      </c>
      <c r="D46" s="228">
        <v>900</v>
      </c>
      <c r="E46" s="109"/>
      <c r="F46" s="228"/>
      <c r="G46" s="100">
        <f t="shared" ref="G46:G59" si="8">H46*O46</f>
        <v>184307800</v>
      </c>
      <c r="H46" s="1">
        <f>900+1099</f>
        <v>1999</v>
      </c>
      <c r="I46" s="40">
        <f t="shared" ref="I46:I59" si="9">J46*O46</f>
        <v>168910400</v>
      </c>
      <c r="J46" s="49">
        <f t="shared" ref="J46:J59" si="10">H46-N46</f>
        <v>1832</v>
      </c>
      <c r="K46" s="1"/>
      <c r="L46" s="1"/>
      <c r="M46" s="242">
        <f t="shared" ref="M46:M59" si="11">N46*O46</f>
        <v>15397400</v>
      </c>
      <c r="N46" s="231">
        <v>167</v>
      </c>
      <c r="O46" s="232">
        <v>92200</v>
      </c>
      <c r="P46" s="229" t="s">
        <v>187</v>
      </c>
      <c r="Q46" s="230" t="s">
        <v>186</v>
      </c>
      <c r="R46" s="63"/>
      <c r="S46" s="34" t="s">
        <v>230</v>
      </c>
    </row>
    <row r="47" spans="2:20" ht="30.75" hidden="1" customHeight="1">
      <c r="D47" s="111"/>
      <c r="E47" s="109"/>
      <c r="F47" s="111"/>
      <c r="G47" s="100">
        <f t="shared" si="8"/>
        <v>0</v>
      </c>
      <c r="H47" s="1"/>
      <c r="I47" s="40">
        <f t="shared" si="9"/>
        <v>0</v>
      </c>
      <c r="J47" s="49">
        <f t="shared" si="10"/>
        <v>0</v>
      </c>
      <c r="K47" s="4"/>
      <c r="L47" s="4"/>
      <c r="M47" s="242">
        <f t="shared" si="11"/>
        <v>0</v>
      </c>
      <c r="N47" s="231"/>
      <c r="O47" s="233">
        <v>104000</v>
      </c>
      <c r="P47" s="152" t="s">
        <v>187</v>
      </c>
      <c r="Q47" s="123" t="s">
        <v>188</v>
      </c>
      <c r="R47" s="63" t="s">
        <v>158</v>
      </c>
      <c r="S47" s="38" t="s">
        <v>83</v>
      </c>
    </row>
    <row r="48" spans="2:20" ht="30.75" hidden="1" customHeight="1">
      <c r="D48" s="111"/>
      <c r="E48" s="109"/>
      <c r="F48" s="111"/>
      <c r="G48" s="100">
        <f t="shared" si="8"/>
        <v>0</v>
      </c>
      <c r="H48" s="1"/>
      <c r="I48" s="40">
        <f t="shared" si="9"/>
        <v>0</v>
      </c>
      <c r="J48" s="49">
        <f t="shared" si="10"/>
        <v>0</v>
      </c>
      <c r="K48" s="4"/>
      <c r="L48" s="4"/>
      <c r="M48" s="242">
        <f t="shared" si="11"/>
        <v>0</v>
      </c>
      <c r="N48" s="231"/>
      <c r="O48" s="234">
        <v>259500</v>
      </c>
      <c r="P48" s="153" t="s">
        <v>187</v>
      </c>
      <c r="Q48" s="124" t="s">
        <v>189</v>
      </c>
      <c r="R48" s="63" t="s">
        <v>158</v>
      </c>
      <c r="S48" s="38" t="s">
        <v>180</v>
      </c>
    </row>
    <row r="49" spans="2:20" ht="30.75" hidden="1" customHeight="1">
      <c r="B49" s="259">
        <v>2000</v>
      </c>
      <c r="D49" s="111">
        <v>1897.39</v>
      </c>
      <c r="E49" s="109"/>
      <c r="F49" s="111"/>
      <c r="G49" s="100">
        <f t="shared" si="8"/>
        <v>1077511000</v>
      </c>
      <c r="H49" s="1">
        <f>1897+2200</f>
        <v>4097</v>
      </c>
      <c r="I49" s="40">
        <f t="shared" si="9"/>
        <v>827398000</v>
      </c>
      <c r="J49" s="49">
        <f t="shared" si="10"/>
        <v>3146</v>
      </c>
      <c r="K49" s="4"/>
      <c r="L49" s="4"/>
      <c r="M49" s="242">
        <f t="shared" si="11"/>
        <v>250113000</v>
      </c>
      <c r="N49" s="231">
        <v>951</v>
      </c>
      <c r="O49" s="235">
        <v>263000</v>
      </c>
      <c r="P49" s="154" t="s">
        <v>187</v>
      </c>
      <c r="Q49" s="125" t="s">
        <v>190</v>
      </c>
      <c r="R49" s="63" t="s">
        <v>158</v>
      </c>
      <c r="S49" s="38" t="s">
        <v>172</v>
      </c>
    </row>
    <row r="50" spans="2:20" ht="30.75" hidden="1" customHeight="1">
      <c r="B50" s="259">
        <v>2000</v>
      </c>
      <c r="D50" s="111">
        <v>1860.03</v>
      </c>
      <c r="E50" s="109"/>
      <c r="F50" s="111"/>
      <c r="G50" s="100">
        <f t="shared" si="8"/>
        <v>220458000</v>
      </c>
      <c r="H50" s="1">
        <f>1860+2200</f>
        <v>4060</v>
      </c>
      <c r="I50" s="40">
        <f t="shared" si="9"/>
        <v>168818700</v>
      </c>
      <c r="J50" s="49">
        <f t="shared" si="10"/>
        <v>3109</v>
      </c>
      <c r="K50" s="4"/>
      <c r="L50" s="4"/>
      <c r="M50" s="242">
        <f t="shared" si="11"/>
        <v>51639300</v>
      </c>
      <c r="N50" s="231">
        <v>951</v>
      </c>
      <c r="O50" s="236">
        <v>54300</v>
      </c>
      <c r="P50" s="155" t="s">
        <v>187</v>
      </c>
      <c r="Q50" s="126" t="s">
        <v>191</v>
      </c>
      <c r="R50" s="63" t="s">
        <v>158</v>
      </c>
      <c r="S50" s="38" t="s">
        <v>173</v>
      </c>
    </row>
    <row r="51" spans="2:20" ht="30.75" hidden="1" customHeight="1">
      <c r="B51" s="259">
        <v>1400</v>
      </c>
      <c r="D51" s="111">
        <v>1964.98</v>
      </c>
      <c r="E51" s="109"/>
      <c r="F51" s="111"/>
      <c r="G51" s="100">
        <f t="shared" si="8"/>
        <v>225388000</v>
      </c>
      <c r="H51" s="1">
        <f>1964+1400</f>
        <v>3364</v>
      </c>
      <c r="I51" s="40">
        <f t="shared" si="9"/>
        <v>134469000</v>
      </c>
      <c r="J51" s="49">
        <f t="shared" si="10"/>
        <v>2007</v>
      </c>
      <c r="K51" s="4"/>
      <c r="L51" s="4"/>
      <c r="M51" s="242">
        <f t="shared" si="11"/>
        <v>90919000</v>
      </c>
      <c r="N51" s="231">
        <v>1357</v>
      </c>
      <c r="O51" s="237">
        <v>67000</v>
      </c>
      <c r="P51" s="156" t="s">
        <v>82</v>
      </c>
      <c r="Q51" s="127" t="s">
        <v>215</v>
      </c>
      <c r="R51" s="63" t="s">
        <v>158</v>
      </c>
      <c r="S51" s="38" t="s">
        <v>214</v>
      </c>
    </row>
    <row r="52" spans="2:20" ht="30.75" hidden="1" customHeight="1">
      <c r="D52" s="111"/>
      <c r="E52" s="109"/>
      <c r="F52" s="111"/>
      <c r="G52" s="100">
        <f t="shared" si="8"/>
        <v>0</v>
      </c>
      <c r="H52" s="1"/>
      <c r="I52" s="40">
        <f t="shared" si="9"/>
        <v>0</v>
      </c>
      <c r="J52" s="49">
        <f t="shared" si="10"/>
        <v>0</v>
      </c>
      <c r="K52" s="4"/>
      <c r="L52" s="4"/>
      <c r="M52" s="242">
        <f t="shared" si="11"/>
        <v>0</v>
      </c>
      <c r="N52" s="231"/>
      <c r="O52" s="238">
        <v>24300</v>
      </c>
      <c r="P52" s="157" t="s">
        <v>187</v>
      </c>
      <c r="Q52" s="128" t="s">
        <v>192</v>
      </c>
      <c r="R52" s="63" t="s">
        <v>158</v>
      </c>
      <c r="S52" s="38" t="s">
        <v>174</v>
      </c>
    </row>
    <row r="53" spans="2:20" ht="30.75" hidden="1" customHeight="1">
      <c r="D53" s="111"/>
      <c r="E53" s="109"/>
      <c r="F53" s="111"/>
      <c r="G53" s="100">
        <f t="shared" si="8"/>
        <v>0</v>
      </c>
      <c r="H53" s="1"/>
      <c r="I53" s="40">
        <f t="shared" si="9"/>
        <v>0</v>
      </c>
      <c r="J53" s="49">
        <f t="shared" si="10"/>
        <v>0</v>
      </c>
      <c r="K53" s="4"/>
      <c r="L53" s="4"/>
      <c r="M53" s="242">
        <f t="shared" si="11"/>
        <v>0</v>
      </c>
      <c r="N53" s="231"/>
      <c r="O53" s="238">
        <v>664000</v>
      </c>
      <c r="P53" s="157" t="s">
        <v>187</v>
      </c>
      <c r="Q53" s="128" t="s">
        <v>261</v>
      </c>
      <c r="R53" s="63" t="s">
        <v>158</v>
      </c>
      <c r="S53" s="38" t="s">
        <v>260</v>
      </c>
    </row>
    <row r="54" spans="2:20" ht="30.75" hidden="1" customHeight="1">
      <c r="B54" s="259">
        <v>70</v>
      </c>
      <c r="D54" s="111"/>
      <c r="E54" s="109"/>
      <c r="F54" s="111"/>
      <c r="G54" s="100">
        <f t="shared" si="8"/>
        <v>2394000</v>
      </c>
      <c r="H54" s="1">
        <v>70</v>
      </c>
      <c r="I54" s="40">
        <f t="shared" si="9"/>
        <v>2394000</v>
      </c>
      <c r="J54" s="49">
        <f t="shared" si="10"/>
        <v>70</v>
      </c>
      <c r="K54" s="4"/>
      <c r="L54" s="4"/>
      <c r="M54" s="242">
        <f t="shared" si="11"/>
        <v>0</v>
      </c>
      <c r="N54" s="231"/>
      <c r="O54" s="238">
        <v>34200</v>
      </c>
      <c r="P54" s="157" t="s">
        <v>187</v>
      </c>
      <c r="Q54" s="262" t="s">
        <v>259</v>
      </c>
      <c r="R54" s="63" t="s">
        <v>158</v>
      </c>
      <c r="S54" s="38" t="s">
        <v>258</v>
      </c>
    </row>
    <row r="55" spans="2:20" ht="30.75" hidden="1" customHeight="1">
      <c r="D55" s="111">
        <v>328.27</v>
      </c>
      <c r="E55" s="109"/>
      <c r="F55" s="111"/>
      <c r="G55" s="100">
        <f t="shared" si="8"/>
        <v>9118400</v>
      </c>
      <c r="H55" s="1">
        <f>328</f>
        <v>328</v>
      </c>
      <c r="I55" s="40">
        <f t="shared" si="9"/>
        <v>3558400</v>
      </c>
      <c r="J55" s="49">
        <f t="shared" si="10"/>
        <v>128</v>
      </c>
      <c r="K55" s="4"/>
      <c r="L55" s="4"/>
      <c r="M55" s="242">
        <f t="shared" si="11"/>
        <v>5560000</v>
      </c>
      <c r="N55" s="231">
        <v>200</v>
      </c>
      <c r="O55" s="239">
        <v>27800</v>
      </c>
      <c r="P55" s="157" t="s">
        <v>187</v>
      </c>
      <c r="Q55" s="129" t="s">
        <v>194</v>
      </c>
      <c r="R55" s="63" t="s">
        <v>158</v>
      </c>
      <c r="S55" s="38" t="s">
        <v>175</v>
      </c>
    </row>
    <row r="56" spans="2:20" ht="30.75" hidden="1" customHeight="1">
      <c r="D56" s="111">
        <v>964.17</v>
      </c>
      <c r="E56" s="109"/>
      <c r="F56" s="111"/>
      <c r="G56" s="100">
        <f t="shared" si="8"/>
        <v>29787600</v>
      </c>
      <c r="H56" s="1">
        <v>964</v>
      </c>
      <c r="I56" s="40">
        <f t="shared" si="9"/>
        <v>2163000</v>
      </c>
      <c r="J56" s="49">
        <f t="shared" si="10"/>
        <v>70</v>
      </c>
      <c r="K56" s="4"/>
      <c r="L56" s="4"/>
      <c r="M56" s="242">
        <f t="shared" si="11"/>
        <v>27624600</v>
      </c>
      <c r="N56" s="231">
        <v>894</v>
      </c>
      <c r="O56" s="240">
        <v>30900</v>
      </c>
      <c r="P56" s="158" t="s">
        <v>82</v>
      </c>
      <c r="Q56" s="130" t="s">
        <v>193</v>
      </c>
      <c r="R56" s="63" t="s">
        <v>158</v>
      </c>
      <c r="S56" s="38" t="s">
        <v>176</v>
      </c>
    </row>
    <row r="57" spans="2:20" ht="30.75" hidden="1" customHeight="1">
      <c r="B57" s="259" t="s">
        <v>293</v>
      </c>
      <c r="C57" s="3" t="s">
        <v>289</v>
      </c>
      <c r="D57" s="110">
        <v>27261</v>
      </c>
      <c r="E57" s="109"/>
      <c r="F57" s="110"/>
      <c r="G57" s="100">
        <f t="shared" si="8"/>
        <v>55821780</v>
      </c>
      <c r="H57" s="1">
        <f>27261+700*9+2000*9*1.3</f>
        <v>56961</v>
      </c>
      <c r="I57" s="40">
        <f t="shared" si="9"/>
        <v>44388120</v>
      </c>
      <c r="J57" s="49">
        <f t="shared" si="10"/>
        <v>45294</v>
      </c>
      <c r="K57" s="4"/>
      <c r="L57" s="4"/>
      <c r="M57" s="242">
        <f t="shared" si="11"/>
        <v>11433660</v>
      </c>
      <c r="N57" s="231">
        <v>11667</v>
      </c>
      <c r="O57" s="241">
        <v>980</v>
      </c>
      <c r="P57" s="6" t="s">
        <v>44</v>
      </c>
      <c r="Q57" s="45" t="s">
        <v>84</v>
      </c>
      <c r="R57" s="63" t="s">
        <v>158</v>
      </c>
      <c r="S57" s="38" t="s">
        <v>85</v>
      </c>
    </row>
    <row r="58" spans="2:20" ht="30.75" hidden="1" customHeight="1">
      <c r="B58" s="259" t="s">
        <v>294</v>
      </c>
      <c r="C58" s="3" t="s">
        <v>290</v>
      </c>
      <c r="D58" s="110">
        <v>76580.14</v>
      </c>
      <c r="E58" s="109"/>
      <c r="F58" s="110"/>
      <c r="G58" s="100">
        <f t="shared" si="8"/>
        <v>127609100</v>
      </c>
      <c r="H58" s="1">
        <f>76580+700*20+2000*20*1.3</f>
        <v>142580</v>
      </c>
      <c r="I58" s="40">
        <f t="shared" si="9"/>
        <v>104405330</v>
      </c>
      <c r="J58" s="49">
        <f t="shared" si="10"/>
        <v>116654</v>
      </c>
      <c r="K58" s="4"/>
      <c r="L58" s="4"/>
      <c r="M58" s="242">
        <f t="shared" si="11"/>
        <v>23203770</v>
      </c>
      <c r="N58" s="231">
        <v>25926</v>
      </c>
      <c r="O58" s="241">
        <v>895</v>
      </c>
      <c r="P58" s="6" t="s">
        <v>44</v>
      </c>
      <c r="Q58" s="45" t="s">
        <v>181</v>
      </c>
      <c r="R58" s="63" t="s">
        <v>158</v>
      </c>
      <c r="S58" s="38" t="s">
        <v>128</v>
      </c>
    </row>
    <row r="59" spans="2:20" ht="30.75" hidden="1" customHeight="1">
      <c r="B59" s="259" t="s">
        <v>295</v>
      </c>
      <c r="D59" s="122">
        <v>53865.71</v>
      </c>
      <c r="E59" s="109"/>
      <c r="F59" s="122"/>
      <c r="G59" s="100">
        <f t="shared" si="8"/>
        <v>68257475</v>
      </c>
      <c r="H59" s="58">
        <f>53865+2000*16*1.3</f>
        <v>95465</v>
      </c>
      <c r="I59" s="40">
        <f t="shared" si="9"/>
        <v>54114060</v>
      </c>
      <c r="J59" s="49">
        <f t="shared" si="10"/>
        <v>75684</v>
      </c>
      <c r="K59" s="59"/>
      <c r="L59" s="59"/>
      <c r="M59" s="242">
        <f t="shared" si="11"/>
        <v>14143415</v>
      </c>
      <c r="N59" s="231">
        <v>19781</v>
      </c>
      <c r="O59" s="241">
        <v>715</v>
      </c>
      <c r="P59" s="6" t="s">
        <v>44</v>
      </c>
      <c r="Q59" s="45" t="s">
        <v>157</v>
      </c>
      <c r="R59" s="63" t="s">
        <v>158</v>
      </c>
      <c r="S59" s="61" t="s">
        <v>156</v>
      </c>
    </row>
    <row r="60" spans="2:20" ht="36.75" hidden="1" customHeight="1" thickBot="1">
      <c r="D60" s="131"/>
      <c r="F60" s="131"/>
      <c r="G60" s="397">
        <f>SUM(G45:G59)</f>
        <v>2045390155</v>
      </c>
      <c r="H60" s="398"/>
      <c r="I60" s="399">
        <f>SUM(I45:I59)</f>
        <v>1553046010</v>
      </c>
      <c r="J60" s="399"/>
      <c r="K60" s="411">
        <f>SUM(K47:K58)</f>
        <v>0</v>
      </c>
      <c r="L60" s="411"/>
      <c r="M60" s="411">
        <f>SUM(M45:M59)</f>
        <v>492344145</v>
      </c>
      <c r="N60" s="411"/>
      <c r="O60" s="133"/>
      <c r="P60" s="132"/>
      <c r="Q60" s="134" t="s">
        <v>86</v>
      </c>
      <c r="R60" s="8" t="s">
        <v>158</v>
      </c>
      <c r="S60" s="209"/>
      <c r="T60" s="29"/>
    </row>
    <row r="61" spans="2:20" ht="49.5" hidden="1" customHeight="1" thickBot="1">
      <c r="D61" s="89"/>
      <c r="F61" s="89"/>
      <c r="G61" s="102"/>
      <c r="H61" s="92"/>
      <c r="I61" s="93"/>
      <c r="J61" s="93"/>
      <c r="K61" s="92"/>
      <c r="L61" s="92"/>
      <c r="M61" s="102"/>
      <c r="N61" s="92"/>
      <c r="O61" s="107"/>
      <c r="P61" s="92"/>
      <c r="Q61" s="94"/>
      <c r="R61" s="69"/>
      <c r="S61" s="211"/>
      <c r="T61" s="29"/>
    </row>
    <row r="62" spans="2:20" ht="23.25" hidden="1" customHeight="1">
      <c r="D62" s="77"/>
      <c r="F62" s="173"/>
      <c r="G62" s="382" t="s">
        <v>300</v>
      </c>
      <c r="H62" s="382"/>
      <c r="I62" s="382" t="s">
        <v>145</v>
      </c>
      <c r="J62" s="382"/>
      <c r="K62" s="78"/>
      <c r="L62" s="78"/>
      <c r="M62" s="199"/>
      <c r="N62" s="78"/>
      <c r="O62" s="79"/>
      <c r="P62" s="78"/>
      <c r="Q62" s="80" t="s">
        <v>171</v>
      </c>
      <c r="R62" s="41"/>
      <c r="S62" s="219"/>
    </row>
    <row r="63" spans="2:20" ht="23.25" hidden="1" customHeight="1">
      <c r="D63" s="81"/>
      <c r="F63" s="174"/>
      <c r="G63" s="96"/>
      <c r="H63" s="82"/>
      <c r="I63" s="83"/>
      <c r="J63" s="143" t="s">
        <v>146</v>
      </c>
      <c r="K63" s="144"/>
      <c r="L63" s="144"/>
      <c r="M63" s="200"/>
      <c r="N63" s="144"/>
      <c r="O63" s="135"/>
      <c r="P63" s="144"/>
      <c r="Q63" s="84" t="s">
        <v>292</v>
      </c>
      <c r="R63" s="56"/>
      <c r="S63" s="175"/>
    </row>
    <row r="64" spans="2:20" ht="23.25" hidden="1" customHeight="1" thickBot="1">
      <c r="D64" s="85"/>
      <c r="F64" s="85"/>
      <c r="G64" s="145"/>
      <c r="H64" s="136"/>
      <c r="I64" s="146"/>
      <c r="J64" s="146"/>
      <c r="K64" s="136"/>
      <c r="L64" s="136"/>
      <c r="M64" s="145" t="s">
        <v>183</v>
      </c>
      <c r="N64" s="136"/>
      <c r="O64" s="136"/>
      <c r="P64" s="136"/>
      <c r="Q64" s="86" t="s">
        <v>195</v>
      </c>
      <c r="R64" s="42"/>
      <c r="S64" s="205"/>
    </row>
    <row r="65" spans="2:20" ht="25.5" hidden="1" customHeight="1">
      <c r="D65" s="385" t="s">
        <v>144</v>
      </c>
      <c r="F65" s="385" t="s">
        <v>144</v>
      </c>
      <c r="G65" s="406" t="s">
        <v>63</v>
      </c>
      <c r="H65" s="406"/>
      <c r="I65" s="409" t="s">
        <v>170</v>
      </c>
      <c r="J65" s="409"/>
      <c r="K65" s="401" t="s">
        <v>2</v>
      </c>
      <c r="L65" s="401"/>
      <c r="M65" s="401" t="s">
        <v>169</v>
      </c>
      <c r="N65" s="401"/>
      <c r="O65" s="426" t="s">
        <v>139</v>
      </c>
      <c r="P65" s="401" t="s">
        <v>1</v>
      </c>
      <c r="Q65" s="401" t="s">
        <v>138</v>
      </c>
      <c r="R65" s="62"/>
      <c r="S65" s="424" t="s">
        <v>0</v>
      </c>
    </row>
    <row r="66" spans="2:20" ht="25.5" hidden="1" customHeight="1">
      <c r="D66" s="386"/>
      <c r="F66" s="386"/>
      <c r="G66" s="97" t="s">
        <v>143</v>
      </c>
      <c r="H66" s="49" t="s">
        <v>142</v>
      </c>
      <c r="I66" s="49" t="s">
        <v>143</v>
      </c>
      <c r="J66" s="49" t="s">
        <v>142</v>
      </c>
      <c r="K66" s="1" t="s">
        <v>4</v>
      </c>
      <c r="L66" s="1" t="s">
        <v>3</v>
      </c>
      <c r="M66" s="100" t="s">
        <v>141</v>
      </c>
      <c r="N66" s="1" t="s">
        <v>140</v>
      </c>
      <c r="O66" s="427"/>
      <c r="P66" s="422"/>
      <c r="Q66" s="422"/>
      <c r="R66" s="2"/>
      <c r="S66" s="425"/>
    </row>
    <row r="67" spans="2:20" ht="34.5" hidden="1" customHeight="1">
      <c r="D67" s="35"/>
      <c r="F67" s="35"/>
      <c r="G67" s="100">
        <f>H67*O67</f>
        <v>0</v>
      </c>
      <c r="H67" s="1"/>
      <c r="I67" s="40">
        <f>J67*O67</f>
        <v>0</v>
      </c>
      <c r="J67" s="49">
        <f>H67-N67</f>
        <v>0</v>
      </c>
      <c r="K67" s="6"/>
      <c r="L67" s="4"/>
      <c r="M67" s="191"/>
      <c r="N67" s="4"/>
      <c r="O67" s="147">
        <v>25900</v>
      </c>
      <c r="P67" s="159" t="s">
        <v>82</v>
      </c>
      <c r="Q67" s="137" t="s">
        <v>196</v>
      </c>
      <c r="R67" s="63" t="s">
        <v>158</v>
      </c>
      <c r="S67" s="38" t="s">
        <v>177</v>
      </c>
      <c r="T67" s="29"/>
    </row>
    <row r="68" spans="2:20" ht="34.5" hidden="1" customHeight="1">
      <c r="D68" s="35"/>
      <c r="F68" s="35"/>
      <c r="G68" s="100">
        <f>H68*O68</f>
        <v>0</v>
      </c>
      <c r="H68" s="1"/>
      <c r="I68" s="40">
        <f>J68*O68</f>
        <v>0</v>
      </c>
      <c r="J68" s="49">
        <f>H68-N68</f>
        <v>0</v>
      </c>
      <c r="K68" s="6"/>
      <c r="L68" s="4"/>
      <c r="M68" s="191"/>
      <c r="N68" s="4"/>
      <c r="O68" s="148">
        <v>39700</v>
      </c>
      <c r="P68" s="160" t="s">
        <v>82</v>
      </c>
      <c r="Q68" s="138" t="s">
        <v>197</v>
      </c>
      <c r="R68" s="63" t="s">
        <v>158</v>
      </c>
      <c r="S68" s="38" t="s">
        <v>178</v>
      </c>
      <c r="T68" s="29"/>
    </row>
    <row r="69" spans="2:20" ht="34.5" hidden="1" customHeight="1">
      <c r="B69" s="259">
        <v>1613</v>
      </c>
      <c r="D69" s="35">
        <v>1964.98</v>
      </c>
      <c r="F69" s="35"/>
      <c r="G69" s="100">
        <f>H69*O69</f>
        <v>29689100</v>
      </c>
      <c r="H69" s="1">
        <f>1964+1613</f>
        <v>3577</v>
      </c>
      <c r="I69" s="40">
        <f>J69*O69</f>
        <v>18426000</v>
      </c>
      <c r="J69" s="49">
        <f>H69-N69</f>
        <v>2220</v>
      </c>
      <c r="K69" s="6"/>
      <c r="L69" s="4"/>
      <c r="M69" s="191">
        <f>N69*O69</f>
        <v>11263100</v>
      </c>
      <c r="N69" s="4">
        <v>1357</v>
      </c>
      <c r="O69" s="149">
        <v>8300</v>
      </c>
      <c r="P69" s="161" t="s">
        <v>82</v>
      </c>
      <c r="Q69" s="222" t="s">
        <v>217</v>
      </c>
      <c r="R69" s="63" t="s">
        <v>158</v>
      </c>
      <c r="S69" s="38" t="s">
        <v>216</v>
      </c>
      <c r="T69" s="29"/>
    </row>
    <row r="70" spans="2:20" ht="34.5" hidden="1" customHeight="1">
      <c r="D70" s="35">
        <v>333.12</v>
      </c>
      <c r="F70" s="35"/>
      <c r="G70" s="100">
        <f>H70*O70</f>
        <v>1698300</v>
      </c>
      <c r="H70" s="1">
        <v>333</v>
      </c>
      <c r="I70" s="40">
        <f>J70*O70</f>
        <v>234600</v>
      </c>
      <c r="J70" s="49">
        <f>H70-N70</f>
        <v>46</v>
      </c>
      <c r="K70" s="6"/>
      <c r="L70" s="4"/>
      <c r="M70" s="191">
        <f>N70*O70</f>
        <v>1463700</v>
      </c>
      <c r="N70" s="4">
        <v>287</v>
      </c>
      <c r="O70" s="150">
        <v>5100</v>
      </c>
      <c r="P70" s="162" t="s">
        <v>82</v>
      </c>
      <c r="Q70" s="139" t="s">
        <v>198</v>
      </c>
      <c r="R70" s="63" t="s">
        <v>158</v>
      </c>
      <c r="S70" s="38" t="s">
        <v>179</v>
      </c>
      <c r="T70" s="29"/>
    </row>
    <row r="71" spans="2:20" ht="33.75" hidden="1" customHeight="1" thickBot="1">
      <c r="D71" s="21"/>
      <c r="F71" s="21"/>
      <c r="G71" s="395">
        <f>SUM(G67:G70)</f>
        <v>31387400</v>
      </c>
      <c r="H71" s="396"/>
      <c r="I71" s="416">
        <f>SUM(I67:I70)</f>
        <v>18660600</v>
      </c>
      <c r="J71" s="417"/>
      <c r="K71" s="8">
        <f>L71*O71</f>
        <v>0</v>
      </c>
      <c r="L71" s="15"/>
      <c r="M71" s="418">
        <f>SUM(M69:M70)</f>
        <v>12726800</v>
      </c>
      <c r="N71" s="419"/>
      <c r="O71" s="23"/>
      <c r="P71" s="8"/>
      <c r="Q71" s="134" t="s">
        <v>199</v>
      </c>
      <c r="R71" s="120" t="s">
        <v>158</v>
      </c>
      <c r="S71" s="121"/>
      <c r="T71" s="29"/>
    </row>
    <row r="72" spans="2:20" ht="25.5" hidden="1" customHeight="1" thickBot="1">
      <c r="D72" s="85"/>
      <c r="F72" s="85"/>
      <c r="G72" s="145"/>
      <c r="H72" s="136"/>
      <c r="I72" s="146"/>
      <c r="J72" s="146"/>
      <c r="K72" s="136"/>
      <c r="L72" s="136"/>
      <c r="M72" s="145" t="s">
        <v>183</v>
      </c>
      <c r="N72" s="136"/>
      <c r="O72" s="136"/>
      <c r="P72" s="136"/>
      <c r="Q72" s="86" t="s">
        <v>200</v>
      </c>
      <c r="R72" s="42"/>
      <c r="S72" s="205"/>
    </row>
    <row r="73" spans="2:20" ht="30" hidden="1" customHeight="1">
      <c r="B73" s="259" t="s">
        <v>262</v>
      </c>
      <c r="C73" s="3">
        <v>300</v>
      </c>
      <c r="D73" s="91">
        <v>184.4</v>
      </c>
      <c r="F73" s="91"/>
      <c r="G73" s="141">
        <f>H73*O73</f>
        <v>50483200</v>
      </c>
      <c r="H73" s="49">
        <f>184+300+540</f>
        <v>1024</v>
      </c>
      <c r="I73" s="40">
        <f>J73*O73</f>
        <v>39144200</v>
      </c>
      <c r="J73" s="49">
        <f>H73-N73</f>
        <v>794</v>
      </c>
      <c r="K73" s="1"/>
      <c r="L73" s="1"/>
      <c r="M73" s="243">
        <f>N73*O73</f>
        <v>11339000</v>
      </c>
      <c r="N73" s="244">
        <v>230</v>
      </c>
      <c r="O73" s="151">
        <v>49300</v>
      </c>
      <c r="P73" s="163" t="s">
        <v>82</v>
      </c>
      <c r="Q73" s="140" t="s">
        <v>201</v>
      </c>
      <c r="R73" s="63" t="s">
        <v>158</v>
      </c>
      <c r="S73" s="212">
        <v>80101</v>
      </c>
    </row>
    <row r="74" spans="2:20" ht="33" hidden="1" customHeight="1">
      <c r="C74" s="3">
        <v>30</v>
      </c>
      <c r="D74" s="20"/>
      <c r="F74" s="20"/>
      <c r="G74" s="141">
        <f t="shared" ref="G74:G83" si="12">H74*O74</f>
        <v>2082000</v>
      </c>
      <c r="H74" s="1">
        <v>30</v>
      </c>
      <c r="I74" s="40">
        <f t="shared" ref="I74:I83" si="13">J74*O74</f>
        <v>2082000</v>
      </c>
      <c r="J74" s="49">
        <f t="shared" ref="J74:J83" si="14">H74-N74</f>
        <v>30</v>
      </c>
      <c r="K74" s="6"/>
      <c r="L74" s="4"/>
      <c r="M74" s="243">
        <f t="shared" ref="M74:M83" si="15">N74*O74</f>
        <v>0</v>
      </c>
      <c r="N74" s="245"/>
      <c r="O74" s="246">
        <v>69400</v>
      </c>
      <c r="P74" s="6" t="s">
        <v>36</v>
      </c>
      <c r="Q74" s="45" t="s">
        <v>203</v>
      </c>
      <c r="R74" s="63" t="s">
        <v>158</v>
      </c>
      <c r="S74" s="38" t="s">
        <v>114</v>
      </c>
    </row>
    <row r="75" spans="2:20" ht="33" hidden="1" customHeight="1">
      <c r="C75" s="3">
        <v>100</v>
      </c>
      <c r="D75" s="20"/>
      <c r="F75" s="20"/>
      <c r="G75" s="141">
        <f t="shared" si="12"/>
        <v>9650000</v>
      </c>
      <c r="H75" s="1">
        <v>100</v>
      </c>
      <c r="I75" s="40">
        <f t="shared" si="13"/>
        <v>-59830000</v>
      </c>
      <c r="J75" s="49">
        <f t="shared" si="14"/>
        <v>-620</v>
      </c>
      <c r="K75" s="6"/>
      <c r="L75" s="4"/>
      <c r="M75" s="243">
        <f t="shared" si="15"/>
        <v>69480000</v>
      </c>
      <c r="N75" s="245">
        <v>720</v>
      </c>
      <c r="O75" s="246">
        <v>96500</v>
      </c>
      <c r="P75" s="6" t="s">
        <v>36</v>
      </c>
      <c r="Q75" s="45" t="s">
        <v>104</v>
      </c>
      <c r="R75" s="63" t="s">
        <v>158</v>
      </c>
      <c r="S75" s="38" t="s">
        <v>103</v>
      </c>
    </row>
    <row r="76" spans="2:20" ht="33" hidden="1" customHeight="1">
      <c r="C76" s="266">
        <v>600</v>
      </c>
      <c r="D76" s="20"/>
      <c r="F76" s="20"/>
      <c r="G76" s="141">
        <f t="shared" si="12"/>
        <v>53750000</v>
      </c>
      <c r="H76" s="1">
        <v>500</v>
      </c>
      <c r="I76" s="40">
        <f t="shared" si="13"/>
        <v>53750000</v>
      </c>
      <c r="J76" s="49">
        <f t="shared" si="14"/>
        <v>500</v>
      </c>
      <c r="K76" s="6"/>
      <c r="L76" s="4"/>
      <c r="M76" s="243">
        <f t="shared" si="15"/>
        <v>0</v>
      </c>
      <c r="N76" s="245"/>
      <c r="O76" s="246">
        <v>107500</v>
      </c>
      <c r="P76" s="6" t="s">
        <v>36</v>
      </c>
      <c r="Q76" s="45" t="s">
        <v>130</v>
      </c>
      <c r="R76" s="63" t="s">
        <v>158</v>
      </c>
      <c r="S76" s="38" t="s">
        <v>129</v>
      </c>
    </row>
    <row r="77" spans="2:20" ht="33" hidden="1" customHeight="1">
      <c r="C77" s="266">
        <v>470</v>
      </c>
      <c r="D77" s="20"/>
      <c r="F77" s="20"/>
      <c r="G77" s="141">
        <f t="shared" si="12"/>
        <v>42000000</v>
      </c>
      <c r="H77" s="1">
        <v>350</v>
      </c>
      <c r="I77" s="40">
        <f t="shared" si="13"/>
        <v>42000000</v>
      </c>
      <c r="J77" s="49">
        <f t="shared" si="14"/>
        <v>350</v>
      </c>
      <c r="K77" s="6"/>
      <c r="L77" s="4"/>
      <c r="M77" s="243">
        <f t="shared" si="15"/>
        <v>0</v>
      </c>
      <c r="N77" s="245"/>
      <c r="O77" s="246">
        <v>120000</v>
      </c>
      <c r="P77" s="6" t="s">
        <v>36</v>
      </c>
      <c r="Q77" s="45" t="s">
        <v>116</v>
      </c>
      <c r="R77" s="63" t="s">
        <v>158</v>
      </c>
      <c r="S77" s="38" t="s">
        <v>115</v>
      </c>
    </row>
    <row r="78" spans="2:20" ht="33" hidden="1" customHeight="1">
      <c r="D78" s="20">
        <v>1521.75</v>
      </c>
      <c r="F78" s="20"/>
      <c r="G78" s="141">
        <f t="shared" si="12"/>
        <v>238036500</v>
      </c>
      <c r="H78" s="1">
        <v>1521</v>
      </c>
      <c r="I78" s="40">
        <f t="shared" si="13"/>
        <v>-5164500</v>
      </c>
      <c r="J78" s="49">
        <f t="shared" si="14"/>
        <v>-33</v>
      </c>
      <c r="K78" s="6"/>
      <c r="L78" s="4"/>
      <c r="M78" s="243">
        <f t="shared" si="15"/>
        <v>243201000</v>
      </c>
      <c r="N78" s="245">
        <v>1554</v>
      </c>
      <c r="O78" s="246">
        <v>156500</v>
      </c>
      <c r="P78" s="6" t="s">
        <v>36</v>
      </c>
      <c r="Q78" s="45" t="s">
        <v>232</v>
      </c>
      <c r="R78" s="63" t="s">
        <v>158</v>
      </c>
      <c r="S78" s="38" t="s">
        <v>231</v>
      </c>
    </row>
    <row r="79" spans="2:20" ht="33" hidden="1" customHeight="1">
      <c r="D79" s="20"/>
      <c r="F79" s="20"/>
      <c r="G79" s="141">
        <f t="shared" si="12"/>
        <v>0</v>
      </c>
      <c r="H79" s="1"/>
      <c r="I79" s="40">
        <f t="shared" si="13"/>
        <v>0</v>
      </c>
      <c r="J79" s="49">
        <f t="shared" si="14"/>
        <v>0</v>
      </c>
      <c r="K79" s="6"/>
      <c r="L79" s="4"/>
      <c r="M79" s="243">
        <f t="shared" si="15"/>
        <v>0</v>
      </c>
      <c r="N79" s="245"/>
      <c r="O79" s="246">
        <v>37500</v>
      </c>
      <c r="P79" s="6" t="s">
        <v>36</v>
      </c>
      <c r="Q79" s="45" t="s">
        <v>147</v>
      </c>
      <c r="R79" s="63" t="s">
        <v>158</v>
      </c>
      <c r="S79" s="36" t="s">
        <v>132</v>
      </c>
    </row>
    <row r="80" spans="2:20" ht="33" hidden="1" customHeight="1">
      <c r="D80" s="20"/>
      <c r="F80" s="20"/>
      <c r="G80" s="141">
        <f t="shared" si="12"/>
        <v>0</v>
      </c>
      <c r="H80" s="1"/>
      <c r="I80" s="40">
        <f t="shared" si="13"/>
        <v>0</v>
      </c>
      <c r="J80" s="49">
        <f t="shared" si="14"/>
        <v>0</v>
      </c>
      <c r="K80" s="6"/>
      <c r="L80" s="4"/>
      <c r="M80" s="243">
        <f t="shared" si="15"/>
        <v>0</v>
      </c>
      <c r="N80" s="245"/>
      <c r="O80" s="246">
        <v>32400</v>
      </c>
      <c r="P80" s="6" t="s">
        <v>36</v>
      </c>
      <c r="Q80" s="45" t="s">
        <v>133</v>
      </c>
      <c r="R80" s="63" t="s">
        <v>158</v>
      </c>
      <c r="S80" s="36" t="s">
        <v>131</v>
      </c>
    </row>
    <row r="81" spans="2:19" ht="33" hidden="1" customHeight="1">
      <c r="D81" s="20"/>
      <c r="F81" s="20"/>
      <c r="G81" s="141">
        <f t="shared" si="12"/>
        <v>0</v>
      </c>
      <c r="H81" s="1"/>
      <c r="I81" s="40">
        <f t="shared" si="13"/>
        <v>0</v>
      </c>
      <c r="J81" s="49">
        <f t="shared" si="14"/>
        <v>0</v>
      </c>
      <c r="K81" s="6"/>
      <c r="L81" s="4"/>
      <c r="M81" s="243">
        <f t="shared" si="15"/>
        <v>0</v>
      </c>
      <c r="N81" s="245"/>
      <c r="O81" s="246">
        <v>13400</v>
      </c>
      <c r="P81" s="6" t="s">
        <v>36</v>
      </c>
      <c r="Q81" s="46" t="s">
        <v>90</v>
      </c>
      <c r="R81" s="63" t="s">
        <v>158</v>
      </c>
      <c r="S81" s="36" t="s">
        <v>88</v>
      </c>
    </row>
    <row r="82" spans="2:19" ht="33" hidden="1" customHeight="1">
      <c r="B82" s="259">
        <v>5520</v>
      </c>
      <c r="C82" s="3">
        <v>3500</v>
      </c>
      <c r="D82" s="20">
        <v>7547.5</v>
      </c>
      <c r="F82" s="20"/>
      <c r="G82" s="141">
        <f t="shared" si="12"/>
        <v>88799120</v>
      </c>
      <c r="H82" s="1">
        <f>7547+3500+5520</f>
        <v>16567</v>
      </c>
      <c r="I82" s="40">
        <f t="shared" si="13"/>
        <v>84484320</v>
      </c>
      <c r="J82" s="49">
        <f t="shared" si="14"/>
        <v>15762</v>
      </c>
      <c r="K82" s="6"/>
      <c r="L82" s="4"/>
      <c r="M82" s="243">
        <f t="shared" si="15"/>
        <v>4314800</v>
      </c>
      <c r="N82" s="245">
        <v>805</v>
      </c>
      <c r="O82" s="246">
        <v>5360</v>
      </c>
      <c r="P82" s="4" t="s">
        <v>47</v>
      </c>
      <c r="Q82" s="46" t="s">
        <v>46</v>
      </c>
      <c r="R82" s="63" t="s">
        <v>158</v>
      </c>
      <c r="S82" s="36" t="s">
        <v>45</v>
      </c>
    </row>
    <row r="83" spans="2:19" ht="33" hidden="1" customHeight="1">
      <c r="C83" s="3">
        <v>300</v>
      </c>
      <c r="D83" s="20"/>
      <c r="F83" s="20"/>
      <c r="G83" s="141">
        <f t="shared" si="12"/>
        <v>18960000</v>
      </c>
      <c r="H83" s="1">
        <v>300</v>
      </c>
      <c r="I83" s="40">
        <f t="shared" si="13"/>
        <v>18960000</v>
      </c>
      <c r="J83" s="49">
        <f t="shared" si="14"/>
        <v>300</v>
      </c>
      <c r="K83" s="6"/>
      <c r="L83" s="4"/>
      <c r="M83" s="243">
        <f t="shared" si="15"/>
        <v>0</v>
      </c>
      <c r="N83" s="245"/>
      <c r="O83" s="246">
        <v>63200</v>
      </c>
      <c r="P83" s="6" t="s">
        <v>36</v>
      </c>
      <c r="Q83" s="46" t="s">
        <v>87</v>
      </c>
      <c r="R83" s="63" t="s">
        <v>158</v>
      </c>
      <c r="S83" s="36" t="s">
        <v>89</v>
      </c>
    </row>
    <row r="84" spans="2:19" ht="33" hidden="1" customHeight="1" thickBot="1">
      <c r="D84" s="142"/>
      <c r="F84" s="142"/>
      <c r="G84" s="412">
        <f>SUM(G73:G83)</f>
        <v>503760820</v>
      </c>
      <c r="H84" s="413"/>
      <c r="I84" s="399">
        <f>SUM(I73:I83)</f>
        <v>175426020</v>
      </c>
      <c r="J84" s="399"/>
      <c r="K84" s="411">
        <f>SUM(K72:K83)</f>
        <v>0</v>
      </c>
      <c r="L84" s="411"/>
      <c r="M84" s="411">
        <f>SUM(M73:M83)</f>
        <v>328334800</v>
      </c>
      <c r="N84" s="411"/>
      <c r="O84" s="133"/>
      <c r="P84" s="132"/>
      <c r="Q84" s="132" t="s">
        <v>6</v>
      </c>
      <c r="R84" s="8"/>
      <c r="S84" s="209"/>
    </row>
    <row r="85" spans="2:19" ht="49.5" hidden="1" customHeight="1" thickBot="1">
      <c r="D85" s="13"/>
      <c r="F85" s="13"/>
      <c r="G85" s="99"/>
      <c r="H85" s="37"/>
      <c r="I85" s="50"/>
      <c r="J85" s="50"/>
      <c r="K85" s="37"/>
      <c r="L85" s="37"/>
      <c r="M85" s="99"/>
      <c r="N85" s="37"/>
      <c r="O85" s="24"/>
      <c r="P85" s="9"/>
      <c r="Q85" s="9"/>
      <c r="R85" s="70"/>
      <c r="S85" s="208"/>
    </row>
    <row r="86" spans="2:19" ht="25.5" hidden="1" customHeight="1">
      <c r="D86" s="77"/>
      <c r="F86" s="173"/>
      <c r="G86" s="382" t="s">
        <v>300</v>
      </c>
      <c r="H86" s="382"/>
      <c r="I86" s="382" t="s">
        <v>145</v>
      </c>
      <c r="J86" s="382"/>
      <c r="K86" s="78"/>
      <c r="L86" s="78"/>
      <c r="M86" s="199"/>
      <c r="N86" s="78"/>
      <c r="O86" s="79"/>
      <c r="P86" s="78"/>
      <c r="Q86" s="80" t="s">
        <v>171</v>
      </c>
      <c r="R86" s="41"/>
      <c r="S86" s="219"/>
    </row>
    <row r="87" spans="2:19" ht="25.5" hidden="1" customHeight="1">
      <c r="D87" s="81"/>
      <c r="F87" s="174"/>
      <c r="G87" s="96"/>
      <c r="H87" s="82"/>
      <c r="I87" s="83"/>
      <c r="J87" s="143" t="s">
        <v>146</v>
      </c>
      <c r="K87" s="144"/>
      <c r="L87" s="144"/>
      <c r="M87" s="200"/>
      <c r="N87" s="144"/>
      <c r="O87" s="135"/>
      <c r="P87" s="144"/>
      <c r="Q87" s="84" t="s">
        <v>292</v>
      </c>
      <c r="R87" s="56"/>
      <c r="S87" s="175"/>
    </row>
    <row r="88" spans="2:19" ht="25.5" hidden="1" customHeight="1" thickBot="1">
      <c r="D88" s="85"/>
      <c r="F88" s="85"/>
      <c r="G88" s="145"/>
      <c r="H88" s="136"/>
      <c r="I88" s="146"/>
      <c r="J88" s="146"/>
      <c r="K88" s="136"/>
      <c r="L88" s="136"/>
      <c r="M88" s="145" t="s">
        <v>183</v>
      </c>
      <c r="N88" s="136"/>
      <c r="O88" s="136"/>
      <c r="P88" s="136"/>
      <c r="Q88" s="86" t="s">
        <v>202</v>
      </c>
      <c r="R88" s="42"/>
      <c r="S88" s="205"/>
    </row>
    <row r="89" spans="2:19" ht="30" hidden="1" customHeight="1">
      <c r="D89" s="385" t="s">
        <v>144</v>
      </c>
      <c r="F89" s="385"/>
      <c r="G89" s="406" t="s">
        <v>63</v>
      </c>
      <c r="H89" s="406"/>
      <c r="I89" s="409" t="s">
        <v>170</v>
      </c>
      <c r="J89" s="409"/>
      <c r="K89" s="401" t="s">
        <v>2</v>
      </c>
      <c r="L89" s="401"/>
      <c r="M89" s="401" t="s">
        <v>169</v>
      </c>
      <c r="N89" s="401"/>
      <c r="O89" s="426" t="s">
        <v>139</v>
      </c>
      <c r="P89" s="401" t="s">
        <v>1</v>
      </c>
      <c r="Q89" s="401" t="s">
        <v>138</v>
      </c>
      <c r="R89" s="63"/>
      <c r="S89" s="424" t="s">
        <v>0</v>
      </c>
    </row>
    <row r="90" spans="2:19" ht="30" hidden="1" customHeight="1">
      <c r="D90" s="386"/>
      <c r="F90" s="386"/>
      <c r="G90" s="97" t="s">
        <v>143</v>
      </c>
      <c r="H90" s="49" t="s">
        <v>142</v>
      </c>
      <c r="I90" s="49" t="s">
        <v>143</v>
      </c>
      <c r="J90" s="49" t="s">
        <v>142</v>
      </c>
      <c r="K90" s="1" t="s">
        <v>4</v>
      </c>
      <c r="L90" s="1" t="s">
        <v>3</v>
      </c>
      <c r="M90" s="100" t="s">
        <v>141</v>
      </c>
      <c r="N90" s="1" t="s">
        <v>140</v>
      </c>
      <c r="O90" s="427"/>
      <c r="P90" s="422"/>
      <c r="Q90" s="422"/>
      <c r="R90" s="63"/>
      <c r="S90" s="425"/>
    </row>
    <row r="91" spans="2:19" ht="31.5" hidden="1" customHeight="1">
      <c r="D91" s="20">
        <v>7265</v>
      </c>
      <c r="F91" s="20"/>
      <c r="G91" s="100">
        <f>H91*O91</f>
        <v>58410600</v>
      </c>
      <c r="H91" s="1">
        <v>7265</v>
      </c>
      <c r="I91" s="40">
        <f>J91*O91</f>
        <v>3770760</v>
      </c>
      <c r="J91" s="49">
        <f>H91-N91</f>
        <v>469</v>
      </c>
      <c r="K91" s="4"/>
      <c r="L91" s="4"/>
      <c r="M91" s="191">
        <f>N91*O91</f>
        <v>54639840</v>
      </c>
      <c r="N91" s="4">
        <v>6796</v>
      </c>
      <c r="O91" s="22">
        <v>8040</v>
      </c>
      <c r="P91" s="4" t="s">
        <v>48</v>
      </c>
      <c r="Q91" s="6" t="s">
        <v>94</v>
      </c>
      <c r="R91" s="63" t="s">
        <v>158</v>
      </c>
      <c r="S91" s="36" t="s">
        <v>91</v>
      </c>
    </row>
    <row r="92" spans="2:19" ht="31.5" hidden="1" customHeight="1">
      <c r="D92" s="20">
        <v>53957.8</v>
      </c>
      <c r="F92" s="20"/>
      <c r="G92" s="100">
        <f>H92*O92</f>
        <v>349637805.00666648</v>
      </c>
      <c r="H92" s="267">
        <v>54974.497642557624</v>
      </c>
      <c r="I92" s="40">
        <f>J92*O92</f>
        <v>17779365.006666489</v>
      </c>
      <c r="J92" s="49">
        <f>H92-N92</f>
        <v>2795.4976425576242</v>
      </c>
      <c r="K92" s="4"/>
      <c r="L92" s="4"/>
      <c r="M92" s="191">
        <f>N92*O92</f>
        <v>331858440</v>
      </c>
      <c r="N92" s="4">
        <v>52179</v>
      </c>
      <c r="O92" s="22">
        <v>6360</v>
      </c>
      <c r="P92" s="4" t="s">
        <v>48</v>
      </c>
      <c r="Q92" s="6" t="s">
        <v>95</v>
      </c>
      <c r="R92" s="63" t="s">
        <v>158</v>
      </c>
      <c r="S92" s="36" t="s">
        <v>92</v>
      </c>
    </row>
    <row r="93" spans="2:19" ht="31.5" hidden="1" customHeight="1">
      <c r="B93" s="259" t="s">
        <v>263</v>
      </c>
      <c r="D93" s="20">
        <v>27030.59</v>
      </c>
      <c r="F93" s="20"/>
      <c r="G93" s="100">
        <f>H93*O93</f>
        <v>171782280</v>
      </c>
      <c r="H93" s="223">
        <v>28069</v>
      </c>
      <c r="I93" s="40">
        <f>J93*O93</f>
        <v>171782280</v>
      </c>
      <c r="J93" s="49">
        <f>H93-N93</f>
        <v>28069</v>
      </c>
      <c r="K93" s="4"/>
      <c r="L93" s="4"/>
      <c r="M93" s="191">
        <f>N93*O93</f>
        <v>0</v>
      </c>
      <c r="N93" s="4"/>
      <c r="O93" s="22">
        <v>6120</v>
      </c>
      <c r="P93" s="4" t="s">
        <v>48</v>
      </c>
      <c r="Q93" s="4" t="s">
        <v>96</v>
      </c>
      <c r="R93" s="63" t="s">
        <v>158</v>
      </c>
      <c r="S93" s="36" t="s">
        <v>93</v>
      </c>
    </row>
    <row r="94" spans="2:19" ht="31.5" hidden="1" customHeight="1">
      <c r="D94" s="20"/>
      <c r="F94" s="20"/>
      <c r="G94" s="100">
        <f>H94*O94</f>
        <v>0</v>
      </c>
      <c r="H94" s="1"/>
      <c r="I94" s="40">
        <f>J94*O94</f>
        <v>0</v>
      </c>
      <c r="J94" s="49">
        <f>H94-N94</f>
        <v>0</v>
      </c>
      <c r="K94" s="4"/>
      <c r="L94" s="4"/>
      <c r="M94" s="191">
        <f>N94*O94</f>
        <v>0</v>
      </c>
      <c r="N94" s="4"/>
      <c r="O94" s="22">
        <v>325</v>
      </c>
      <c r="P94" s="4" t="s">
        <v>48</v>
      </c>
      <c r="Q94" s="4" t="s">
        <v>118</v>
      </c>
      <c r="R94" s="63" t="s">
        <v>158</v>
      </c>
      <c r="S94" s="36" t="s">
        <v>117</v>
      </c>
    </row>
    <row r="95" spans="2:19" ht="31.5" hidden="1" customHeight="1">
      <c r="D95" s="20"/>
      <c r="F95" s="20"/>
      <c r="G95" s="100">
        <f>H95*O95</f>
        <v>0</v>
      </c>
      <c r="H95" s="1"/>
      <c r="I95" s="40">
        <f>J95*O95</f>
        <v>0</v>
      </c>
      <c r="J95" s="49">
        <f>H95-N95</f>
        <v>0</v>
      </c>
      <c r="K95" s="4"/>
      <c r="L95" s="4"/>
      <c r="M95" s="191">
        <f>N95*O95</f>
        <v>0</v>
      </c>
      <c r="N95" s="4"/>
      <c r="O95" s="22">
        <v>12600</v>
      </c>
      <c r="P95" s="4" t="s">
        <v>48</v>
      </c>
      <c r="Q95" s="45" t="s">
        <v>135</v>
      </c>
      <c r="R95" s="63" t="s">
        <v>158</v>
      </c>
      <c r="S95" s="36" t="s">
        <v>134</v>
      </c>
    </row>
    <row r="96" spans="2:19" ht="31.5" hidden="1" customHeight="1" thickBot="1">
      <c r="D96" s="57"/>
      <c r="F96" s="57"/>
      <c r="G96" s="414">
        <f>SUM(G91:G95)</f>
        <v>579830685.00666642</v>
      </c>
      <c r="H96" s="415"/>
      <c r="I96" s="430">
        <f>SUM(I91:I95)</f>
        <v>193332405.00666648</v>
      </c>
      <c r="J96" s="430"/>
      <c r="K96" s="423">
        <f>SUM(K91:K95)</f>
        <v>0</v>
      </c>
      <c r="L96" s="423"/>
      <c r="M96" s="423">
        <f>SUM(M91:M95)</f>
        <v>386498280</v>
      </c>
      <c r="N96" s="423"/>
      <c r="O96" s="423"/>
      <c r="P96" s="423"/>
      <c r="Q96" s="164" t="s">
        <v>7</v>
      </c>
      <c r="R96" s="165"/>
      <c r="S96" s="213"/>
    </row>
    <row r="97" spans="2:20" ht="27.75" hidden="1" customHeight="1">
      <c r="D97" s="186"/>
      <c r="F97" s="186"/>
      <c r="G97" s="187"/>
      <c r="H97" s="188"/>
      <c r="I97" s="189"/>
      <c r="J97" s="189"/>
      <c r="K97" s="188"/>
      <c r="L97" s="188"/>
      <c r="M97" s="201" t="s">
        <v>183</v>
      </c>
      <c r="N97" s="188"/>
      <c r="O97" s="190"/>
      <c r="P97" s="188"/>
      <c r="Q97" s="188" t="s">
        <v>8</v>
      </c>
      <c r="R97" s="188"/>
      <c r="S97" s="215"/>
    </row>
    <row r="98" spans="2:20" ht="28.5" hidden="1" customHeight="1">
      <c r="D98" s="5">
        <v>650</v>
      </c>
      <c r="F98" s="5"/>
      <c r="G98" s="191">
        <f>H98*O98</f>
        <v>11505000</v>
      </c>
      <c r="H98" s="1">
        <v>650</v>
      </c>
      <c r="I98" s="40">
        <f>J98*O98</f>
        <v>11505000</v>
      </c>
      <c r="J98" s="49">
        <f>H98-N98</f>
        <v>650</v>
      </c>
      <c r="K98" s="6"/>
      <c r="L98" s="4"/>
      <c r="M98" s="191"/>
      <c r="N98" s="4"/>
      <c r="O98" s="22">
        <v>17700</v>
      </c>
      <c r="P98" s="6" t="s">
        <v>48</v>
      </c>
      <c r="Q98" s="45" t="s">
        <v>250</v>
      </c>
      <c r="R98" s="6" t="s">
        <v>158</v>
      </c>
      <c r="S98" s="34" t="s">
        <v>249</v>
      </c>
    </row>
    <row r="99" spans="2:20" ht="28.5" hidden="1" customHeight="1">
      <c r="D99" s="5"/>
      <c r="F99" s="5"/>
      <c r="G99" s="191">
        <f>H99*O99</f>
        <v>0</v>
      </c>
      <c r="H99" s="1"/>
      <c r="I99" s="40">
        <f>J99*O99</f>
        <v>0</v>
      </c>
      <c r="J99" s="49">
        <f>H99-N99</f>
        <v>0</v>
      </c>
      <c r="K99" s="6"/>
      <c r="L99" s="4"/>
      <c r="M99" s="191"/>
      <c r="N99" s="4"/>
      <c r="O99" s="22">
        <v>12500</v>
      </c>
      <c r="P99" s="6" t="s">
        <v>48</v>
      </c>
      <c r="Q99" s="45" t="s">
        <v>119</v>
      </c>
      <c r="R99" s="6" t="s">
        <v>158</v>
      </c>
      <c r="S99" s="207">
        <v>110301</v>
      </c>
      <c r="T99" s="27"/>
    </row>
    <row r="100" spans="2:20" ht="28.5" hidden="1" customHeight="1" thickBot="1">
      <c r="D100" s="185">
        <v>1220</v>
      </c>
      <c r="F100" s="185"/>
      <c r="G100" s="191">
        <f>H100*O100</f>
        <v>54900000</v>
      </c>
      <c r="H100" s="43">
        <v>1220</v>
      </c>
      <c r="I100" s="40">
        <f>J100*O100</f>
        <v>900000</v>
      </c>
      <c r="J100" s="49">
        <f>H100-N100</f>
        <v>20</v>
      </c>
      <c r="K100" s="8"/>
      <c r="L100" s="15"/>
      <c r="M100" s="197">
        <f>N100*O100</f>
        <v>54000000</v>
      </c>
      <c r="N100" s="15">
        <v>1200</v>
      </c>
      <c r="O100" s="23">
        <v>45000</v>
      </c>
      <c r="P100" s="8" t="s">
        <v>48</v>
      </c>
      <c r="Q100" s="198" t="s">
        <v>233</v>
      </c>
      <c r="R100" s="8" t="s">
        <v>159</v>
      </c>
      <c r="S100" s="209">
        <v>110304</v>
      </c>
      <c r="T100" s="27"/>
    </row>
    <row r="101" spans="2:20" ht="28.5" hidden="1" customHeight="1" thickBot="1">
      <c r="D101" s="193"/>
      <c r="F101" s="193"/>
      <c r="G101" s="404">
        <f>SUM(G98:G100)</f>
        <v>66405000</v>
      </c>
      <c r="H101" s="405"/>
      <c r="I101" s="410">
        <f>SUM(I98:I100)</f>
        <v>12405000</v>
      </c>
      <c r="J101" s="410"/>
      <c r="K101" s="431">
        <f>SUM(K98:K100)</f>
        <v>0</v>
      </c>
      <c r="L101" s="431"/>
      <c r="M101" s="431">
        <f>SUM(M98:M100)</f>
        <v>54000000</v>
      </c>
      <c r="N101" s="431"/>
      <c r="O101" s="195"/>
      <c r="P101" s="194"/>
      <c r="Q101" s="194" t="s">
        <v>10</v>
      </c>
      <c r="R101" s="196"/>
      <c r="S101" s="216"/>
    </row>
    <row r="102" spans="2:20" ht="49.5" hidden="1" customHeight="1" thickBot="1">
      <c r="G102" s="101"/>
      <c r="H102" s="17"/>
      <c r="I102" s="52"/>
      <c r="J102" s="52"/>
      <c r="K102" s="17"/>
      <c r="L102" s="17"/>
      <c r="M102" s="101"/>
      <c r="N102" s="17"/>
      <c r="O102" s="24"/>
      <c r="P102" s="17"/>
      <c r="Q102" s="18"/>
      <c r="R102" s="18"/>
      <c r="S102" s="210"/>
    </row>
    <row r="103" spans="2:20" ht="25.5" hidden="1" customHeight="1">
      <c r="D103" s="77"/>
      <c r="F103" s="173"/>
      <c r="G103" s="382" t="s">
        <v>300</v>
      </c>
      <c r="H103" s="382"/>
      <c r="I103" s="382" t="s">
        <v>145</v>
      </c>
      <c r="J103" s="382"/>
      <c r="K103" s="78"/>
      <c r="L103" s="78"/>
      <c r="M103" s="199"/>
      <c r="N103" s="78"/>
      <c r="O103" s="79"/>
      <c r="P103" s="78"/>
      <c r="Q103" s="80" t="s">
        <v>171</v>
      </c>
      <c r="R103" s="41"/>
      <c r="S103" s="219"/>
    </row>
    <row r="104" spans="2:20" ht="25.5" hidden="1" customHeight="1">
      <c r="D104" s="81"/>
      <c r="F104" s="174"/>
      <c r="G104" s="96"/>
      <c r="H104" s="82"/>
      <c r="I104" s="83"/>
      <c r="J104" s="143" t="s">
        <v>146</v>
      </c>
      <c r="K104" s="144"/>
      <c r="L104" s="144"/>
      <c r="M104" s="200"/>
      <c r="N104" s="144"/>
      <c r="O104" s="135"/>
      <c r="P104" s="144"/>
      <c r="Q104" s="84" t="s">
        <v>292</v>
      </c>
      <c r="R104" s="56"/>
      <c r="S104" s="175"/>
    </row>
    <row r="105" spans="2:20" ht="25.5" hidden="1" customHeight="1" thickBot="1">
      <c r="D105" s="85"/>
      <c r="F105" s="85"/>
      <c r="G105" s="145"/>
      <c r="H105" s="136"/>
      <c r="I105" s="146"/>
      <c r="J105" s="146"/>
      <c r="K105" s="136"/>
      <c r="L105" s="136"/>
      <c r="M105" s="202" t="s">
        <v>183</v>
      </c>
      <c r="N105" s="136"/>
      <c r="O105" s="136"/>
      <c r="P105" s="136"/>
      <c r="Q105" s="86" t="s">
        <v>206</v>
      </c>
      <c r="R105" s="42"/>
      <c r="S105" s="205"/>
    </row>
    <row r="106" spans="2:20" ht="30" hidden="1" customHeight="1">
      <c r="D106" s="385" t="s">
        <v>144</v>
      </c>
      <c r="F106" s="385" t="s">
        <v>144</v>
      </c>
      <c r="G106" s="406" t="s">
        <v>63</v>
      </c>
      <c r="H106" s="406"/>
      <c r="I106" s="409" t="s">
        <v>170</v>
      </c>
      <c r="J106" s="409"/>
      <c r="K106" s="401" t="s">
        <v>2</v>
      </c>
      <c r="L106" s="401"/>
      <c r="M106" s="401" t="s">
        <v>169</v>
      </c>
      <c r="N106" s="401"/>
      <c r="O106" s="426" t="s">
        <v>139</v>
      </c>
      <c r="P106" s="401" t="s">
        <v>1</v>
      </c>
      <c r="Q106" s="401" t="s">
        <v>138</v>
      </c>
      <c r="R106" s="62"/>
      <c r="S106" s="424" t="s">
        <v>0</v>
      </c>
    </row>
    <row r="107" spans="2:20" ht="30" hidden="1" customHeight="1">
      <c r="D107" s="386"/>
      <c r="F107" s="386"/>
      <c r="G107" s="97" t="s">
        <v>143</v>
      </c>
      <c r="H107" s="49" t="s">
        <v>142</v>
      </c>
      <c r="I107" s="49" t="s">
        <v>143</v>
      </c>
      <c r="J107" s="49" t="s">
        <v>142</v>
      </c>
      <c r="K107" s="1" t="s">
        <v>4</v>
      </c>
      <c r="L107" s="1" t="s">
        <v>3</v>
      </c>
      <c r="M107" s="100" t="s">
        <v>141</v>
      </c>
      <c r="N107" s="1" t="s">
        <v>140</v>
      </c>
      <c r="O107" s="427"/>
      <c r="P107" s="422"/>
      <c r="Q107" s="422"/>
      <c r="R107" s="2"/>
      <c r="S107" s="425"/>
    </row>
    <row r="108" spans="2:20" ht="30" hidden="1" customHeight="1">
      <c r="D108" s="55"/>
      <c r="F108" s="55"/>
      <c r="G108" s="100">
        <f>H108*O108</f>
        <v>0</v>
      </c>
      <c r="H108" s="49"/>
      <c r="I108" s="40">
        <f>J108*O108</f>
        <v>0</v>
      </c>
      <c r="J108" s="49">
        <f>H108-N108</f>
        <v>0</v>
      </c>
      <c r="K108" s="1"/>
      <c r="L108" s="1"/>
      <c r="M108" s="191">
        <f>N108*O108</f>
        <v>0</v>
      </c>
      <c r="N108" s="1"/>
      <c r="O108" s="22">
        <v>220000</v>
      </c>
      <c r="P108" s="6" t="s">
        <v>35</v>
      </c>
      <c r="Q108" s="45" t="s">
        <v>219</v>
      </c>
      <c r="R108" s="2"/>
      <c r="S108" s="34" t="s">
        <v>218</v>
      </c>
    </row>
    <row r="109" spans="2:20" ht="39" hidden="1" customHeight="1">
      <c r="D109" s="20"/>
      <c r="F109" s="20"/>
      <c r="G109" s="100">
        <f t="shared" ref="G109:G124" si="16">H109*O109</f>
        <v>0</v>
      </c>
      <c r="H109" s="1"/>
      <c r="I109" s="40">
        <f t="shared" ref="I109:I124" si="17">J109*O109</f>
        <v>0</v>
      </c>
      <c r="J109" s="49">
        <f t="shared" ref="J109:J124" si="18">H109-N109</f>
        <v>0</v>
      </c>
      <c r="K109" s="6"/>
      <c r="L109" s="6"/>
      <c r="M109" s="191">
        <f t="shared" ref="M109:M124" si="19">N109*O109</f>
        <v>0</v>
      </c>
      <c r="N109" s="6"/>
      <c r="O109" s="22">
        <v>249500</v>
      </c>
      <c r="P109" s="6" t="s">
        <v>35</v>
      </c>
      <c r="Q109" s="45" t="s">
        <v>182</v>
      </c>
      <c r="R109" s="66" t="s">
        <v>158</v>
      </c>
      <c r="S109" s="34">
        <v>120103</v>
      </c>
    </row>
    <row r="110" spans="2:20" ht="39" hidden="1" customHeight="1">
      <c r="B110" s="259">
        <v>893</v>
      </c>
      <c r="C110" s="3">
        <v>2150</v>
      </c>
      <c r="D110" s="20">
        <v>416.5</v>
      </c>
      <c r="F110" s="20"/>
      <c r="G110" s="100">
        <f t="shared" si="16"/>
        <v>970249500</v>
      </c>
      <c r="H110" s="1">
        <f>416+2150+893</f>
        <v>3459</v>
      </c>
      <c r="I110" s="40">
        <f t="shared" si="17"/>
        <v>754264500</v>
      </c>
      <c r="J110" s="49">
        <f t="shared" si="18"/>
        <v>2689</v>
      </c>
      <c r="K110" s="6"/>
      <c r="L110" s="6"/>
      <c r="M110" s="191">
        <f t="shared" si="19"/>
        <v>215985000</v>
      </c>
      <c r="N110" s="6">
        <v>770</v>
      </c>
      <c r="O110" s="22">
        <v>280500</v>
      </c>
      <c r="P110" s="6" t="s">
        <v>35</v>
      </c>
      <c r="Q110" s="46" t="s">
        <v>120</v>
      </c>
      <c r="R110" s="66" t="s">
        <v>158</v>
      </c>
      <c r="S110" s="34">
        <v>120104</v>
      </c>
    </row>
    <row r="111" spans="2:20" ht="39" hidden="1" customHeight="1">
      <c r="D111" s="20">
        <v>92.36</v>
      </c>
      <c r="F111" s="20"/>
      <c r="G111" s="100">
        <f t="shared" si="16"/>
        <v>31096000</v>
      </c>
      <c r="H111" s="1">
        <v>92</v>
      </c>
      <c r="I111" s="40">
        <f t="shared" si="17"/>
        <v>0</v>
      </c>
      <c r="J111" s="49">
        <f t="shared" si="18"/>
        <v>0</v>
      </c>
      <c r="K111" s="6"/>
      <c r="L111" s="6"/>
      <c r="M111" s="191">
        <f t="shared" si="19"/>
        <v>31096000</v>
      </c>
      <c r="N111" s="4">
        <v>92</v>
      </c>
      <c r="O111" s="22">
        <v>338000</v>
      </c>
      <c r="P111" s="6" t="s">
        <v>35</v>
      </c>
      <c r="Q111" s="46" t="s">
        <v>51</v>
      </c>
      <c r="R111" s="66" t="s">
        <v>158</v>
      </c>
      <c r="S111" s="207" t="s">
        <v>49</v>
      </c>
    </row>
    <row r="112" spans="2:20" ht="39" hidden="1" customHeight="1">
      <c r="D112" s="20">
        <v>708.39</v>
      </c>
      <c r="F112" s="20"/>
      <c r="G112" s="100">
        <f t="shared" si="16"/>
        <v>258774000</v>
      </c>
      <c r="H112" s="1">
        <v>708</v>
      </c>
      <c r="I112" s="40">
        <f t="shared" si="17"/>
        <v>-17909500</v>
      </c>
      <c r="J112" s="49">
        <f t="shared" si="18"/>
        <v>-49</v>
      </c>
      <c r="K112" s="6"/>
      <c r="L112" s="6"/>
      <c r="M112" s="191">
        <f t="shared" si="19"/>
        <v>276683500</v>
      </c>
      <c r="N112" s="4">
        <v>757</v>
      </c>
      <c r="O112" s="22">
        <v>365500</v>
      </c>
      <c r="P112" s="6" t="s">
        <v>35</v>
      </c>
      <c r="Q112" s="46" t="s">
        <v>160</v>
      </c>
      <c r="R112" s="66" t="s">
        <v>158</v>
      </c>
      <c r="S112" s="207">
        <v>120107</v>
      </c>
    </row>
    <row r="113" spans="2:19" ht="39" hidden="1" customHeight="1">
      <c r="D113" s="20"/>
      <c r="F113" s="20"/>
      <c r="G113" s="100">
        <f t="shared" si="16"/>
        <v>0</v>
      </c>
      <c r="H113" s="1"/>
      <c r="I113" s="40">
        <f t="shared" si="17"/>
        <v>0</v>
      </c>
      <c r="J113" s="49">
        <f t="shared" si="18"/>
        <v>0</v>
      </c>
      <c r="K113" s="6"/>
      <c r="L113" s="6"/>
      <c r="M113" s="191">
        <f t="shared" si="19"/>
        <v>0</v>
      </c>
      <c r="N113" s="4"/>
      <c r="O113" s="22">
        <v>25400</v>
      </c>
      <c r="P113" s="6" t="s">
        <v>35</v>
      </c>
      <c r="Q113" s="46" t="s">
        <v>161</v>
      </c>
      <c r="R113" s="66" t="s">
        <v>158</v>
      </c>
      <c r="S113" s="207">
        <v>120110</v>
      </c>
    </row>
    <row r="114" spans="2:19" ht="39" hidden="1" customHeight="1">
      <c r="C114" s="3">
        <v>1800</v>
      </c>
      <c r="D114" s="20">
        <v>118.37</v>
      </c>
      <c r="F114" s="20"/>
      <c r="G114" s="100">
        <f t="shared" si="16"/>
        <v>37796000</v>
      </c>
      <c r="H114" s="1">
        <f>118+1600</f>
        <v>1718</v>
      </c>
      <c r="I114" s="40">
        <f t="shared" si="17"/>
        <v>18832000</v>
      </c>
      <c r="J114" s="49">
        <f t="shared" si="18"/>
        <v>856</v>
      </c>
      <c r="K114" s="6"/>
      <c r="L114" s="6"/>
      <c r="M114" s="191">
        <f t="shared" si="19"/>
        <v>18964000</v>
      </c>
      <c r="N114" s="4">
        <v>862</v>
      </c>
      <c r="O114" s="22">
        <v>22000</v>
      </c>
      <c r="P114" s="6" t="s">
        <v>35</v>
      </c>
      <c r="Q114" s="46" t="s">
        <v>121</v>
      </c>
      <c r="R114" s="66" t="s">
        <v>158</v>
      </c>
      <c r="S114" s="207">
        <v>120302</v>
      </c>
    </row>
    <row r="115" spans="2:19" ht="39" hidden="1" customHeight="1">
      <c r="C115" s="3">
        <f>2300-1800</f>
        <v>500</v>
      </c>
      <c r="D115" s="20">
        <v>709.89</v>
      </c>
      <c r="F115" s="20"/>
      <c r="G115" s="100">
        <f t="shared" si="16"/>
        <v>45469000</v>
      </c>
      <c r="H115" s="1">
        <f>709+400</f>
        <v>1109</v>
      </c>
      <c r="I115" s="40">
        <f t="shared" si="17"/>
        <v>14432000</v>
      </c>
      <c r="J115" s="49">
        <f t="shared" si="18"/>
        <v>352</v>
      </c>
      <c r="K115" s="6"/>
      <c r="L115" s="6"/>
      <c r="M115" s="191">
        <f t="shared" si="19"/>
        <v>31037000</v>
      </c>
      <c r="N115" s="4">
        <v>757</v>
      </c>
      <c r="O115" s="22">
        <v>41000</v>
      </c>
      <c r="P115" s="6" t="s">
        <v>35</v>
      </c>
      <c r="Q115" s="46" t="s">
        <v>122</v>
      </c>
      <c r="R115" s="66" t="s">
        <v>158</v>
      </c>
      <c r="S115" s="207">
        <v>120303</v>
      </c>
    </row>
    <row r="116" spans="2:19" ht="39" hidden="1" customHeight="1">
      <c r="D116" s="20"/>
      <c r="F116" s="20"/>
      <c r="G116" s="100">
        <f t="shared" si="16"/>
        <v>0</v>
      </c>
      <c r="H116" s="1"/>
      <c r="I116" s="40">
        <f t="shared" si="17"/>
        <v>0</v>
      </c>
      <c r="J116" s="49">
        <f t="shared" si="18"/>
        <v>0</v>
      </c>
      <c r="K116" s="6"/>
      <c r="L116" s="6"/>
      <c r="M116" s="191">
        <f t="shared" si="19"/>
        <v>0</v>
      </c>
      <c r="N116" s="4"/>
      <c r="O116" s="108">
        <v>29300</v>
      </c>
      <c r="P116" s="6" t="s">
        <v>35</v>
      </c>
      <c r="Q116" s="46" t="s">
        <v>123</v>
      </c>
      <c r="R116" s="66" t="s">
        <v>158</v>
      </c>
      <c r="S116" s="207">
        <v>120305</v>
      </c>
    </row>
    <row r="117" spans="2:19" ht="39" hidden="1" customHeight="1">
      <c r="D117" s="20"/>
      <c r="F117" s="20"/>
      <c r="G117" s="100">
        <f t="shared" si="16"/>
        <v>0</v>
      </c>
      <c r="H117" s="1"/>
      <c r="I117" s="40">
        <f t="shared" si="17"/>
        <v>0</v>
      </c>
      <c r="J117" s="49">
        <f t="shared" si="18"/>
        <v>0</v>
      </c>
      <c r="K117" s="6"/>
      <c r="L117" s="6"/>
      <c r="M117" s="191">
        <f t="shared" si="19"/>
        <v>0</v>
      </c>
      <c r="N117" s="4"/>
      <c r="O117" s="22">
        <v>26400</v>
      </c>
      <c r="P117" s="6" t="s">
        <v>35</v>
      </c>
      <c r="Q117" s="46" t="s">
        <v>124</v>
      </c>
      <c r="R117" s="66" t="s">
        <v>158</v>
      </c>
      <c r="S117" s="207">
        <v>120307</v>
      </c>
    </row>
    <row r="118" spans="2:19" ht="39" hidden="1" customHeight="1">
      <c r="D118" s="20">
        <v>800.75</v>
      </c>
      <c r="F118" s="20"/>
      <c r="G118" s="100">
        <f t="shared" si="16"/>
        <v>4416000</v>
      </c>
      <c r="H118" s="203">
        <v>800</v>
      </c>
      <c r="I118" s="40">
        <f t="shared" si="17"/>
        <v>-270480</v>
      </c>
      <c r="J118" s="49">
        <f t="shared" si="18"/>
        <v>-49</v>
      </c>
      <c r="K118" s="6"/>
      <c r="L118" s="6"/>
      <c r="M118" s="191">
        <f t="shared" si="19"/>
        <v>4686480</v>
      </c>
      <c r="N118" s="4">
        <v>849</v>
      </c>
      <c r="O118" s="22">
        <v>5520</v>
      </c>
      <c r="P118" s="6" t="s">
        <v>35</v>
      </c>
      <c r="Q118" s="46" t="s">
        <v>52</v>
      </c>
      <c r="R118" s="66" t="s">
        <v>158</v>
      </c>
      <c r="S118" s="207" t="s">
        <v>50</v>
      </c>
    </row>
    <row r="119" spans="2:19" ht="39" hidden="1" customHeight="1">
      <c r="B119" s="259" t="s">
        <v>270</v>
      </c>
      <c r="C119" s="3" t="s">
        <v>296</v>
      </c>
      <c r="D119" s="110"/>
      <c r="F119" s="110"/>
      <c r="G119" s="100">
        <f t="shared" si="16"/>
        <v>12172000</v>
      </c>
      <c r="H119" s="1">
        <f>2150*250+223250</f>
        <v>760750</v>
      </c>
      <c r="I119" s="40">
        <f t="shared" si="17"/>
        <v>12172000</v>
      </c>
      <c r="J119" s="49">
        <f t="shared" si="18"/>
        <v>760750</v>
      </c>
      <c r="K119" s="6"/>
      <c r="L119" s="6"/>
      <c r="M119" s="191">
        <f t="shared" si="19"/>
        <v>0</v>
      </c>
      <c r="N119" s="4"/>
      <c r="O119" s="22">
        <v>16</v>
      </c>
      <c r="P119" s="6" t="s">
        <v>48</v>
      </c>
      <c r="Q119" s="46" t="s">
        <v>162</v>
      </c>
      <c r="R119" s="66" t="s">
        <v>158</v>
      </c>
      <c r="S119" s="207">
        <v>120701</v>
      </c>
    </row>
    <row r="120" spans="2:19" ht="39" hidden="1" customHeight="1">
      <c r="D120" s="110">
        <v>413319.5</v>
      </c>
      <c r="F120" s="110"/>
      <c r="G120" s="100">
        <f t="shared" si="16"/>
        <v>13226208</v>
      </c>
      <c r="H120" s="1">
        <v>413319</v>
      </c>
      <c r="I120" s="40">
        <f t="shared" si="17"/>
        <v>-3653792</v>
      </c>
      <c r="J120" s="49">
        <f t="shared" si="18"/>
        <v>-114181</v>
      </c>
      <c r="K120" s="6"/>
      <c r="L120" s="6"/>
      <c r="M120" s="191">
        <f t="shared" si="19"/>
        <v>16880000</v>
      </c>
      <c r="N120" s="4">
        <v>527500</v>
      </c>
      <c r="O120" s="22">
        <v>32</v>
      </c>
      <c r="P120" s="6" t="s">
        <v>48</v>
      </c>
      <c r="Q120" s="45" t="s">
        <v>235</v>
      </c>
      <c r="R120" s="66" t="s">
        <v>158</v>
      </c>
      <c r="S120" s="34" t="s">
        <v>234</v>
      </c>
    </row>
    <row r="121" spans="2:19" ht="39" hidden="1" customHeight="1">
      <c r="D121" s="110">
        <v>11000</v>
      </c>
      <c r="F121" s="110"/>
      <c r="G121" s="100">
        <f t="shared" si="16"/>
        <v>6545000</v>
      </c>
      <c r="H121" s="1">
        <v>11000</v>
      </c>
      <c r="I121" s="40">
        <f t="shared" si="17"/>
        <v>6545000</v>
      </c>
      <c r="J121" s="49">
        <f t="shared" si="18"/>
        <v>11000</v>
      </c>
      <c r="K121" s="6"/>
      <c r="L121" s="6"/>
      <c r="M121" s="191">
        <f t="shared" si="19"/>
        <v>0</v>
      </c>
      <c r="N121" s="4"/>
      <c r="O121" s="169">
        <v>595</v>
      </c>
      <c r="P121" s="166" t="s">
        <v>204</v>
      </c>
      <c r="Q121" s="167" t="s">
        <v>205</v>
      </c>
      <c r="R121" s="66" t="s">
        <v>158</v>
      </c>
      <c r="S121" s="207">
        <v>120703</v>
      </c>
    </row>
    <row r="122" spans="2:19" ht="39" hidden="1" customHeight="1">
      <c r="B122" s="259" t="s">
        <v>271</v>
      </c>
      <c r="C122" s="3" t="s">
        <v>297</v>
      </c>
      <c r="D122" s="57">
        <v>17156.169999999998</v>
      </c>
      <c r="F122" s="57"/>
      <c r="G122" s="100">
        <f t="shared" si="16"/>
        <v>100991020</v>
      </c>
      <c r="H122" s="58">
        <f>17156+2150*14+893*14</f>
        <v>59758</v>
      </c>
      <c r="I122" s="40">
        <f t="shared" si="17"/>
        <v>62413390</v>
      </c>
      <c r="J122" s="49">
        <f t="shared" si="18"/>
        <v>36931</v>
      </c>
      <c r="K122" s="7"/>
      <c r="L122" s="59"/>
      <c r="M122" s="191">
        <f t="shared" si="19"/>
        <v>38577630</v>
      </c>
      <c r="N122" s="168">
        <v>22827</v>
      </c>
      <c r="O122" s="60">
        <v>1690</v>
      </c>
      <c r="P122" s="4" t="s">
        <v>44</v>
      </c>
      <c r="Q122" s="74" t="s">
        <v>163</v>
      </c>
      <c r="R122" s="66" t="s">
        <v>158</v>
      </c>
      <c r="S122" s="213">
        <v>120801</v>
      </c>
    </row>
    <row r="123" spans="2:19" ht="39" hidden="1" customHeight="1">
      <c r="B123" s="259" t="s">
        <v>272</v>
      </c>
      <c r="C123" s="3" t="s">
        <v>298</v>
      </c>
      <c r="D123" s="57">
        <v>19358.900000000001</v>
      </c>
      <c r="F123" s="57"/>
      <c r="G123" s="100">
        <f t="shared" si="16"/>
        <v>53861780</v>
      </c>
      <c r="H123" s="58">
        <f>19358+2150*1.3*9+10448</f>
        <v>54961</v>
      </c>
      <c r="I123" s="40">
        <f t="shared" si="17"/>
        <v>32781980</v>
      </c>
      <c r="J123" s="49">
        <f t="shared" si="18"/>
        <v>33451</v>
      </c>
      <c r="K123" s="7"/>
      <c r="L123" s="59"/>
      <c r="M123" s="191">
        <f t="shared" si="19"/>
        <v>21079800</v>
      </c>
      <c r="N123" s="73">
        <v>21510</v>
      </c>
      <c r="O123" s="60">
        <v>980</v>
      </c>
      <c r="P123" s="4" t="s">
        <v>44</v>
      </c>
      <c r="Q123" s="74" t="s">
        <v>164</v>
      </c>
      <c r="R123" s="66" t="s">
        <v>158</v>
      </c>
      <c r="S123" s="213">
        <v>121001</v>
      </c>
    </row>
    <row r="124" spans="2:19" ht="39" hidden="1" customHeight="1">
      <c r="B124" s="259" t="s">
        <v>273</v>
      </c>
      <c r="C124" s="266" t="s">
        <v>299</v>
      </c>
      <c r="D124" s="57">
        <v>64529.75</v>
      </c>
      <c r="F124" s="57"/>
      <c r="G124" s="100">
        <f t="shared" si="16"/>
        <v>155725100</v>
      </c>
      <c r="H124" s="58">
        <f>34827+2150*1.3*30+64529</f>
        <v>183206</v>
      </c>
      <c r="I124" s="40">
        <f t="shared" si="17"/>
        <v>94780100</v>
      </c>
      <c r="J124" s="49">
        <f t="shared" si="18"/>
        <v>111506</v>
      </c>
      <c r="K124" s="7"/>
      <c r="L124" s="59"/>
      <c r="M124" s="191">
        <f t="shared" si="19"/>
        <v>60945000</v>
      </c>
      <c r="N124" s="73">
        <v>71700</v>
      </c>
      <c r="O124" s="60">
        <v>850</v>
      </c>
      <c r="P124" s="4" t="s">
        <v>44</v>
      </c>
      <c r="Q124" s="74" t="s">
        <v>165</v>
      </c>
      <c r="R124" s="66" t="s">
        <v>158</v>
      </c>
      <c r="S124" s="213">
        <v>121002</v>
      </c>
    </row>
    <row r="125" spans="2:19" ht="39" hidden="1" customHeight="1" thickBot="1">
      <c r="D125" s="21"/>
      <c r="F125" s="21"/>
      <c r="G125" s="397">
        <f>SUM(G108:G124)</f>
        <v>1690321608</v>
      </c>
      <c r="H125" s="398"/>
      <c r="I125" s="402">
        <f>SUM(I108:I124)</f>
        <v>974387198</v>
      </c>
      <c r="J125" s="402"/>
      <c r="K125" s="400">
        <f>SUM(K109:K121)</f>
        <v>0</v>
      </c>
      <c r="L125" s="400"/>
      <c r="M125" s="400">
        <f>SUM(M108:M124)</f>
        <v>715934410</v>
      </c>
      <c r="N125" s="400"/>
      <c r="O125" s="39"/>
      <c r="P125" s="115"/>
      <c r="Q125" s="115" t="s">
        <v>11</v>
      </c>
      <c r="R125" s="67"/>
      <c r="S125" s="209"/>
    </row>
    <row r="126" spans="2:19" ht="49.5" hidden="1" customHeight="1" thickBot="1">
      <c r="D126" s="13"/>
      <c r="F126" s="13"/>
      <c r="G126" s="99"/>
      <c r="H126" s="37"/>
      <c r="I126" s="50"/>
      <c r="J126" s="50"/>
      <c r="K126" s="44"/>
      <c r="L126" s="44"/>
      <c r="M126" s="99"/>
      <c r="N126" s="37"/>
      <c r="O126" s="24"/>
      <c r="P126" s="17"/>
      <c r="Q126" s="17"/>
      <c r="R126" s="17"/>
      <c r="S126" s="210"/>
    </row>
    <row r="127" spans="2:19" ht="25.5" hidden="1" customHeight="1">
      <c r="D127" s="77"/>
      <c r="F127" s="173"/>
      <c r="G127" s="382" t="s">
        <v>300</v>
      </c>
      <c r="H127" s="382"/>
      <c r="I127" s="382" t="s">
        <v>145</v>
      </c>
      <c r="J127" s="382"/>
      <c r="K127" s="78"/>
      <c r="L127" s="78"/>
      <c r="M127" s="199"/>
      <c r="N127" s="78"/>
      <c r="O127" s="79"/>
      <c r="P127" s="78"/>
      <c r="Q127" s="80" t="s">
        <v>171</v>
      </c>
      <c r="R127" s="41"/>
      <c r="S127" s="219"/>
    </row>
    <row r="128" spans="2:19" ht="25.5" hidden="1" customHeight="1">
      <c r="D128" s="81"/>
      <c r="F128" s="174"/>
      <c r="G128" s="96"/>
      <c r="H128" s="82"/>
      <c r="I128" s="83"/>
      <c r="J128" s="143" t="s">
        <v>146</v>
      </c>
      <c r="K128" s="144"/>
      <c r="L128" s="144"/>
      <c r="M128" s="200"/>
      <c r="N128" s="144"/>
      <c r="O128" s="135"/>
      <c r="P128" s="144"/>
      <c r="Q128" s="84" t="s">
        <v>292</v>
      </c>
      <c r="R128" s="56"/>
      <c r="S128" s="175"/>
    </row>
    <row r="129" spans="2:19" ht="25.5" hidden="1" customHeight="1" thickBot="1">
      <c r="D129" s="85"/>
      <c r="F129" s="85"/>
      <c r="G129" s="145"/>
      <c r="H129" s="136"/>
      <c r="I129" s="146"/>
      <c r="J129" s="146"/>
      <c r="K129" s="136"/>
      <c r="L129" s="136"/>
      <c r="M129" s="202" t="s">
        <v>183</v>
      </c>
      <c r="N129" s="136"/>
      <c r="O129" s="136"/>
      <c r="P129" s="136"/>
      <c r="Q129" s="86" t="s">
        <v>207</v>
      </c>
      <c r="R129" s="42"/>
      <c r="S129" s="205"/>
    </row>
    <row r="130" spans="2:19" ht="30" hidden="1" customHeight="1">
      <c r="D130" s="385" t="s">
        <v>144</v>
      </c>
      <c r="F130" s="385" t="s">
        <v>144</v>
      </c>
      <c r="G130" s="406" t="s">
        <v>63</v>
      </c>
      <c r="H130" s="406"/>
      <c r="I130" s="409" t="s">
        <v>170</v>
      </c>
      <c r="J130" s="409"/>
      <c r="K130" s="401" t="s">
        <v>2</v>
      </c>
      <c r="L130" s="401"/>
      <c r="M130" s="401" t="s">
        <v>169</v>
      </c>
      <c r="N130" s="401"/>
      <c r="O130" s="426" t="s">
        <v>139</v>
      </c>
      <c r="P130" s="401" t="s">
        <v>1</v>
      </c>
      <c r="Q130" s="401" t="s">
        <v>138</v>
      </c>
      <c r="R130" s="62"/>
      <c r="S130" s="424" t="s">
        <v>0</v>
      </c>
    </row>
    <row r="131" spans="2:19" ht="30" hidden="1" customHeight="1">
      <c r="D131" s="386"/>
      <c r="F131" s="386"/>
      <c r="G131" s="97" t="s">
        <v>143</v>
      </c>
      <c r="H131" s="49" t="s">
        <v>142</v>
      </c>
      <c r="I131" s="49" t="s">
        <v>143</v>
      </c>
      <c r="J131" s="49" t="s">
        <v>142</v>
      </c>
      <c r="K131" s="1" t="s">
        <v>4</v>
      </c>
      <c r="L131" s="1" t="s">
        <v>3</v>
      </c>
      <c r="M131" s="100" t="s">
        <v>141</v>
      </c>
      <c r="N131" s="1" t="s">
        <v>140</v>
      </c>
      <c r="O131" s="427"/>
      <c r="P131" s="422"/>
      <c r="Q131" s="422"/>
      <c r="R131" s="2"/>
      <c r="S131" s="425"/>
    </row>
    <row r="132" spans="2:19" ht="35.25" hidden="1" customHeight="1">
      <c r="D132" s="5"/>
      <c r="F132" s="5"/>
      <c r="G132" s="100"/>
      <c r="H132" s="1"/>
      <c r="I132" s="40">
        <f>J132*O132</f>
        <v>-103292000</v>
      </c>
      <c r="J132" s="49">
        <f>H132-N132</f>
        <v>-136</v>
      </c>
      <c r="K132" s="6"/>
      <c r="L132" s="6"/>
      <c r="M132" s="191">
        <f>N132*O132</f>
        <v>103292000</v>
      </c>
      <c r="N132" s="4">
        <v>136</v>
      </c>
      <c r="O132" s="22">
        <v>759500</v>
      </c>
      <c r="P132" s="6" t="s">
        <v>35</v>
      </c>
      <c r="Q132" s="46" t="s">
        <v>110</v>
      </c>
      <c r="R132" s="46" t="s">
        <v>158</v>
      </c>
      <c r="S132" s="207">
        <v>130804</v>
      </c>
    </row>
    <row r="133" spans="2:19" ht="35.25" hidden="1" customHeight="1">
      <c r="D133" s="5"/>
      <c r="F133" s="5"/>
      <c r="G133" s="100"/>
      <c r="H133" s="1"/>
      <c r="I133" s="40">
        <f>J133*O133</f>
        <v>-217550000</v>
      </c>
      <c r="J133" s="49">
        <f>H133-N133</f>
        <v>-380</v>
      </c>
      <c r="K133" s="6"/>
      <c r="L133" s="6"/>
      <c r="M133" s="191">
        <f>N133*O133</f>
        <v>217550000</v>
      </c>
      <c r="N133" s="4">
        <v>380</v>
      </c>
      <c r="O133" s="22">
        <v>572500</v>
      </c>
      <c r="P133" s="6" t="s">
        <v>35</v>
      </c>
      <c r="Q133" s="45" t="s">
        <v>237</v>
      </c>
      <c r="R133" s="46" t="s">
        <v>158</v>
      </c>
      <c r="S133" s="34" t="s">
        <v>236</v>
      </c>
    </row>
    <row r="134" spans="2:19" ht="35.25" hidden="1" customHeight="1">
      <c r="D134" s="5"/>
      <c r="F134" s="5"/>
      <c r="G134" s="100">
        <f>H134*O134</f>
        <v>7986000</v>
      </c>
      <c r="H134" s="1">
        <v>44</v>
      </c>
      <c r="I134" s="40">
        <f>J134*O134</f>
        <v>7986000</v>
      </c>
      <c r="J134" s="49">
        <f>H134-N134</f>
        <v>44</v>
      </c>
      <c r="K134" s="6"/>
      <c r="L134" s="6"/>
      <c r="M134" s="191">
        <f>N134*O134</f>
        <v>0</v>
      </c>
      <c r="N134" s="4"/>
      <c r="O134" s="22">
        <v>181500</v>
      </c>
      <c r="P134" s="6" t="s">
        <v>155</v>
      </c>
      <c r="Q134" s="46" t="s">
        <v>208</v>
      </c>
      <c r="R134" s="46" t="s">
        <v>158</v>
      </c>
      <c r="S134" s="207">
        <v>131109</v>
      </c>
    </row>
    <row r="135" spans="2:19" ht="27" hidden="1" customHeight="1" thickBot="1">
      <c r="D135" s="21"/>
      <c r="F135" s="21"/>
      <c r="G135" s="397">
        <f>SUM(G132:G134)</f>
        <v>7986000</v>
      </c>
      <c r="H135" s="398"/>
      <c r="I135" s="402">
        <f>SUM(I132:I134)</f>
        <v>-312856000</v>
      </c>
      <c r="J135" s="402"/>
      <c r="K135" s="400">
        <f>SUM(K132:K132)</f>
        <v>0</v>
      </c>
      <c r="L135" s="400"/>
      <c r="M135" s="400">
        <f>SUM(M132:M134)</f>
        <v>320842000</v>
      </c>
      <c r="N135" s="400"/>
      <c r="O135" s="39"/>
      <c r="P135" s="115"/>
      <c r="Q135" s="115" t="s">
        <v>111</v>
      </c>
      <c r="R135" s="15"/>
      <c r="S135" s="209"/>
    </row>
    <row r="136" spans="2:19" ht="25.5" hidden="1" customHeight="1" thickBot="1">
      <c r="D136" s="85"/>
      <c r="F136" s="85"/>
      <c r="G136" s="145"/>
      <c r="H136" s="136"/>
      <c r="I136" s="146"/>
      <c r="J136" s="146"/>
      <c r="K136" s="136"/>
      <c r="L136" s="136"/>
      <c r="M136" s="202" t="s">
        <v>183</v>
      </c>
      <c r="N136" s="136"/>
      <c r="O136" s="136"/>
      <c r="P136" s="136"/>
      <c r="Q136" s="86" t="s">
        <v>209</v>
      </c>
      <c r="R136" s="42"/>
      <c r="S136" s="205"/>
    </row>
    <row r="137" spans="2:19" ht="43.5" hidden="1" customHeight="1">
      <c r="D137" s="20">
        <v>7280</v>
      </c>
      <c r="F137" s="20"/>
      <c r="G137" s="100">
        <f t="shared" ref="G137:G147" si="20">H137*O137</f>
        <v>531440000</v>
      </c>
      <c r="H137" s="1">
        <v>7280</v>
      </c>
      <c r="I137" s="40">
        <f>J137*O137</f>
        <v>-577941000</v>
      </c>
      <c r="J137" s="49">
        <f>H137-N137</f>
        <v>-7917</v>
      </c>
      <c r="K137" s="6"/>
      <c r="L137" s="6"/>
      <c r="M137" s="113">
        <f t="shared" ref="M137:M147" si="21">N137*O137</f>
        <v>1109381000</v>
      </c>
      <c r="N137" s="4">
        <v>15197</v>
      </c>
      <c r="O137" s="22">
        <v>73000</v>
      </c>
      <c r="P137" s="6" t="s">
        <v>35</v>
      </c>
      <c r="Q137" s="45" t="s">
        <v>239</v>
      </c>
      <c r="R137" s="65" t="s">
        <v>158</v>
      </c>
      <c r="S137" s="34" t="s">
        <v>238</v>
      </c>
    </row>
    <row r="138" spans="2:19" ht="43.5" hidden="1" customHeight="1">
      <c r="D138" s="20"/>
      <c r="F138" s="20"/>
      <c r="G138" s="100">
        <f t="shared" si="20"/>
        <v>0</v>
      </c>
      <c r="H138" s="1"/>
      <c r="I138" s="40">
        <f t="shared" ref="I138:I147" si="22">J138*O138</f>
        <v>0</v>
      </c>
      <c r="J138" s="49">
        <f t="shared" ref="J138:J147" si="23">H138-N138</f>
        <v>0</v>
      </c>
      <c r="K138" s="6"/>
      <c r="L138" s="6"/>
      <c r="M138" s="100">
        <f t="shared" si="21"/>
        <v>0</v>
      </c>
      <c r="N138" s="4"/>
      <c r="O138" s="22">
        <v>6170</v>
      </c>
      <c r="P138" s="6" t="s">
        <v>35</v>
      </c>
      <c r="Q138" s="45" t="s">
        <v>166</v>
      </c>
      <c r="R138" s="65" t="s">
        <v>158</v>
      </c>
      <c r="S138" s="207">
        <v>140701</v>
      </c>
    </row>
    <row r="139" spans="2:19" ht="43.5" hidden="1" customHeight="1">
      <c r="D139" s="20"/>
      <c r="F139" s="20"/>
      <c r="G139" s="100">
        <f t="shared" si="20"/>
        <v>1064000</v>
      </c>
      <c r="H139" s="1">
        <v>140</v>
      </c>
      <c r="I139" s="40">
        <f t="shared" si="22"/>
        <v>1064000</v>
      </c>
      <c r="J139" s="49">
        <f t="shared" si="23"/>
        <v>140</v>
      </c>
      <c r="K139" s="6"/>
      <c r="L139" s="6"/>
      <c r="M139" s="100">
        <f t="shared" si="21"/>
        <v>0</v>
      </c>
      <c r="N139" s="4"/>
      <c r="O139" s="22">
        <v>7600</v>
      </c>
      <c r="P139" s="6" t="s">
        <v>35</v>
      </c>
      <c r="Q139" s="45" t="s">
        <v>136</v>
      </c>
      <c r="R139" s="65" t="s">
        <v>158</v>
      </c>
      <c r="S139" s="207">
        <v>140704</v>
      </c>
    </row>
    <row r="140" spans="2:19" ht="43.5" hidden="1" customHeight="1">
      <c r="D140" s="20"/>
      <c r="F140" s="20"/>
      <c r="G140" s="100">
        <f t="shared" si="20"/>
        <v>455000</v>
      </c>
      <c r="H140" s="1">
        <v>140</v>
      </c>
      <c r="I140" s="40">
        <f t="shared" si="22"/>
        <v>455000</v>
      </c>
      <c r="J140" s="49">
        <f t="shared" si="23"/>
        <v>140</v>
      </c>
      <c r="K140" s="6"/>
      <c r="L140" s="6"/>
      <c r="M140" s="100">
        <f t="shared" si="21"/>
        <v>0</v>
      </c>
      <c r="N140" s="4"/>
      <c r="O140" s="22">
        <v>3250</v>
      </c>
      <c r="P140" s="6" t="s">
        <v>35</v>
      </c>
      <c r="Q140" s="45" t="s">
        <v>167</v>
      </c>
      <c r="R140" s="65" t="s">
        <v>158</v>
      </c>
      <c r="S140" s="207">
        <v>140801</v>
      </c>
    </row>
    <row r="141" spans="2:19" ht="43.5" hidden="1" customHeight="1">
      <c r="B141" s="259">
        <v>950</v>
      </c>
      <c r="D141" s="20"/>
      <c r="F141" s="20"/>
      <c r="G141" s="100">
        <f t="shared" si="20"/>
        <v>72485000</v>
      </c>
      <c r="H141" s="1">
        <v>950</v>
      </c>
      <c r="I141" s="40">
        <f t="shared" si="22"/>
        <v>72485000</v>
      </c>
      <c r="J141" s="49">
        <f t="shared" si="23"/>
        <v>950</v>
      </c>
      <c r="K141" s="6"/>
      <c r="L141" s="6"/>
      <c r="M141" s="100">
        <f t="shared" si="21"/>
        <v>0</v>
      </c>
      <c r="N141" s="4"/>
      <c r="O141" s="22">
        <v>76300</v>
      </c>
      <c r="P141" s="6" t="s">
        <v>35</v>
      </c>
      <c r="Q141" s="45" t="s">
        <v>275</v>
      </c>
      <c r="R141" s="65" t="s">
        <v>158</v>
      </c>
      <c r="S141" s="207" t="s">
        <v>274</v>
      </c>
    </row>
    <row r="142" spans="2:19" ht="43.5" hidden="1" customHeight="1">
      <c r="D142" s="20"/>
      <c r="F142" s="20"/>
      <c r="G142" s="100">
        <f t="shared" si="20"/>
        <v>0</v>
      </c>
      <c r="H142" s="1"/>
      <c r="I142" s="40">
        <f t="shared" si="22"/>
        <v>0</v>
      </c>
      <c r="J142" s="49">
        <f t="shared" si="23"/>
        <v>0</v>
      </c>
      <c r="K142" s="6"/>
      <c r="L142" s="6"/>
      <c r="M142" s="100">
        <f t="shared" si="21"/>
        <v>0</v>
      </c>
      <c r="N142" s="4"/>
      <c r="O142" s="22">
        <v>9670</v>
      </c>
      <c r="P142" s="6" t="s">
        <v>35</v>
      </c>
      <c r="Q142" s="45" t="s">
        <v>137</v>
      </c>
      <c r="R142" s="65" t="s">
        <v>158</v>
      </c>
      <c r="S142" s="207">
        <v>141002</v>
      </c>
    </row>
    <row r="143" spans="2:19" ht="43.5" hidden="1" customHeight="1">
      <c r="D143" s="20">
        <v>400</v>
      </c>
      <c r="F143" s="20"/>
      <c r="G143" s="100">
        <f t="shared" si="20"/>
        <v>13800000</v>
      </c>
      <c r="H143" s="1">
        <v>400</v>
      </c>
      <c r="I143" s="40">
        <f t="shared" si="22"/>
        <v>13800000</v>
      </c>
      <c r="J143" s="49">
        <f t="shared" si="23"/>
        <v>400</v>
      </c>
      <c r="K143" s="6"/>
      <c r="L143" s="6"/>
      <c r="M143" s="100">
        <f t="shared" si="21"/>
        <v>0</v>
      </c>
      <c r="N143" s="4"/>
      <c r="O143" s="22">
        <v>34500</v>
      </c>
      <c r="P143" s="6" t="s">
        <v>35</v>
      </c>
      <c r="Q143" s="45" t="s">
        <v>253</v>
      </c>
      <c r="R143" s="65" t="s">
        <v>158</v>
      </c>
      <c r="S143" s="34" t="s">
        <v>251</v>
      </c>
    </row>
    <row r="144" spans="2:19" ht="43.5" hidden="1" customHeight="1">
      <c r="D144" s="20">
        <v>600</v>
      </c>
      <c r="F144" s="20"/>
      <c r="G144" s="100">
        <f t="shared" si="20"/>
        <v>17160000</v>
      </c>
      <c r="H144" s="1">
        <v>600</v>
      </c>
      <c r="I144" s="40">
        <f t="shared" si="22"/>
        <v>17160000</v>
      </c>
      <c r="J144" s="49">
        <f t="shared" si="23"/>
        <v>600</v>
      </c>
      <c r="K144" s="6"/>
      <c r="L144" s="6"/>
      <c r="M144" s="100">
        <f t="shared" si="21"/>
        <v>0</v>
      </c>
      <c r="N144" s="4"/>
      <c r="O144" s="22">
        <v>28600</v>
      </c>
      <c r="P144" s="6" t="s">
        <v>35</v>
      </c>
      <c r="Q144" s="45" t="s">
        <v>254</v>
      </c>
      <c r="R144" s="65" t="s">
        <v>158</v>
      </c>
      <c r="S144" s="34" t="s">
        <v>252</v>
      </c>
    </row>
    <row r="145" spans="2:19" ht="32.25" hidden="1" customHeight="1">
      <c r="B145" s="259" t="s">
        <v>276</v>
      </c>
      <c r="D145" s="20">
        <v>92520</v>
      </c>
      <c r="F145" s="20"/>
      <c r="G145" s="100">
        <f t="shared" si="20"/>
        <v>99048600</v>
      </c>
      <c r="H145" s="1">
        <f>92520+9*950</f>
        <v>101070</v>
      </c>
      <c r="I145" s="40">
        <f t="shared" si="22"/>
        <v>-34988940</v>
      </c>
      <c r="J145" s="49">
        <f t="shared" si="23"/>
        <v>-35703</v>
      </c>
      <c r="K145" s="6"/>
      <c r="L145" s="6"/>
      <c r="M145" s="100">
        <f t="shared" si="21"/>
        <v>134037540</v>
      </c>
      <c r="N145" s="4">
        <v>136773</v>
      </c>
      <c r="O145" s="104">
        <v>980</v>
      </c>
      <c r="P145" s="4" t="s">
        <v>44</v>
      </c>
      <c r="Q145" s="45" t="s">
        <v>68</v>
      </c>
      <c r="R145" s="65" t="s">
        <v>158</v>
      </c>
      <c r="S145" s="207">
        <v>141901</v>
      </c>
    </row>
    <row r="146" spans="2:19" ht="32.25" hidden="1" customHeight="1">
      <c r="B146" s="259" t="s">
        <v>277</v>
      </c>
      <c r="D146" s="20">
        <v>205600</v>
      </c>
      <c r="F146" s="20"/>
      <c r="G146" s="100">
        <f t="shared" si="20"/>
        <v>201017000</v>
      </c>
      <c r="H146" s="1">
        <f>205600+20*950</f>
        <v>224600</v>
      </c>
      <c r="I146" s="40">
        <f t="shared" si="22"/>
        <v>-71009300</v>
      </c>
      <c r="J146" s="49">
        <f t="shared" si="23"/>
        <v>-79340</v>
      </c>
      <c r="K146" s="6"/>
      <c r="L146" s="6"/>
      <c r="M146" s="100">
        <f t="shared" si="21"/>
        <v>272026300</v>
      </c>
      <c r="N146" s="4">
        <v>303940</v>
      </c>
      <c r="O146" s="22">
        <v>895</v>
      </c>
      <c r="P146" s="4" t="s">
        <v>44</v>
      </c>
      <c r="Q146" s="45" t="s">
        <v>242</v>
      </c>
      <c r="R146" s="65" t="s">
        <v>158</v>
      </c>
      <c r="S146" s="207">
        <v>141902</v>
      </c>
    </row>
    <row r="147" spans="2:19" ht="32.25" hidden="1" customHeight="1">
      <c r="B147" s="259" t="s">
        <v>278</v>
      </c>
      <c r="D147" s="57">
        <v>102800</v>
      </c>
      <c r="F147" s="57"/>
      <c r="G147" s="100">
        <f t="shared" si="20"/>
        <v>80294500</v>
      </c>
      <c r="H147" s="224">
        <f>102800+10*950</f>
        <v>112300</v>
      </c>
      <c r="I147" s="40">
        <f t="shared" si="22"/>
        <v>-28364050</v>
      </c>
      <c r="J147" s="49">
        <f t="shared" si="23"/>
        <v>-39670</v>
      </c>
      <c r="K147" s="7"/>
      <c r="L147" s="7"/>
      <c r="M147" s="100">
        <f t="shared" si="21"/>
        <v>108658550</v>
      </c>
      <c r="N147" s="59">
        <v>151970</v>
      </c>
      <c r="O147" s="60">
        <v>715</v>
      </c>
      <c r="P147" s="4" t="s">
        <v>44</v>
      </c>
      <c r="Q147" s="247" t="s">
        <v>241</v>
      </c>
      <c r="R147" s="65" t="s">
        <v>158</v>
      </c>
      <c r="S147" s="248" t="s">
        <v>240</v>
      </c>
    </row>
    <row r="148" spans="2:19" ht="29.25" hidden="1" customHeight="1" thickBot="1">
      <c r="D148" s="21"/>
      <c r="F148" s="21"/>
      <c r="G148" s="397">
        <f>SUM(G137:G147)</f>
        <v>1016764100</v>
      </c>
      <c r="H148" s="398"/>
      <c r="I148" s="432">
        <f>SUM(I137:I147)</f>
        <v>-607339290</v>
      </c>
      <c r="J148" s="432"/>
      <c r="K148" s="433">
        <f>SUM(K137:K146)</f>
        <v>0</v>
      </c>
      <c r="L148" s="433"/>
      <c r="M148" s="400">
        <f>SUM(M137:M147)</f>
        <v>1624103390</v>
      </c>
      <c r="N148" s="400"/>
      <c r="O148" s="400"/>
      <c r="P148" s="400"/>
      <c r="Q148" s="170" t="s">
        <v>13</v>
      </c>
      <c r="R148" s="68"/>
      <c r="S148" s="217"/>
    </row>
    <row r="149" spans="2:19" ht="49.5" hidden="1" customHeight="1">
      <c r="D149" s="13"/>
      <c r="F149" s="13"/>
      <c r="G149" s="99"/>
      <c r="H149" s="11"/>
      <c r="I149" s="54"/>
      <c r="J149" s="54"/>
      <c r="K149" s="87"/>
      <c r="L149" s="87"/>
      <c r="M149" s="99"/>
      <c r="N149" s="37"/>
      <c r="O149" s="37"/>
      <c r="P149" s="37"/>
      <c r="Q149" s="88"/>
      <c r="R149" s="88"/>
      <c r="S149" s="218"/>
    </row>
    <row r="150" spans="2:19" ht="49.5" hidden="1" customHeight="1" thickBot="1">
      <c r="D150" s="13"/>
      <c r="F150" s="13"/>
      <c r="G150" s="99"/>
      <c r="H150" s="11"/>
      <c r="I150" s="54"/>
      <c r="J150" s="54"/>
      <c r="K150" s="87"/>
      <c r="L150" s="87"/>
      <c r="M150" s="99"/>
      <c r="N150" s="37"/>
      <c r="O150" s="37"/>
      <c r="P150" s="37"/>
      <c r="Q150" s="88"/>
      <c r="R150" s="88"/>
      <c r="S150" s="218"/>
    </row>
    <row r="151" spans="2:19" ht="25.5" hidden="1" customHeight="1">
      <c r="D151" s="77"/>
      <c r="F151" s="173"/>
      <c r="G151" s="382" t="s">
        <v>300</v>
      </c>
      <c r="H151" s="382"/>
      <c r="I151" s="382" t="s">
        <v>145</v>
      </c>
      <c r="J151" s="382"/>
      <c r="K151" s="78"/>
      <c r="L151" s="78"/>
      <c r="M151" s="199"/>
      <c r="N151" s="78"/>
      <c r="O151" s="79"/>
      <c r="P151" s="78"/>
      <c r="Q151" s="80" t="s">
        <v>171</v>
      </c>
      <c r="R151" s="41"/>
      <c r="S151" s="219"/>
    </row>
    <row r="152" spans="2:19" ht="25.5" hidden="1" customHeight="1">
      <c r="D152" s="81"/>
      <c r="F152" s="174"/>
      <c r="G152" s="96"/>
      <c r="H152" s="82"/>
      <c r="I152" s="83"/>
      <c r="J152" s="143" t="s">
        <v>146</v>
      </c>
      <c r="K152" s="144"/>
      <c r="L152" s="144"/>
      <c r="M152" s="200"/>
      <c r="N152" s="144"/>
      <c r="O152" s="135"/>
      <c r="P152" s="144"/>
      <c r="Q152" s="84" t="s">
        <v>292</v>
      </c>
      <c r="R152" s="56"/>
      <c r="S152" s="175"/>
    </row>
    <row r="153" spans="2:19" ht="25.5" hidden="1" customHeight="1" thickBot="1">
      <c r="D153" s="85"/>
      <c r="F153" s="85"/>
      <c r="G153" s="145"/>
      <c r="H153" s="136"/>
      <c r="I153" s="146"/>
      <c r="J153" s="146"/>
      <c r="K153" s="136"/>
      <c r="L153" s="136"/>
      <c r="M153" s="202" t="s">
        <v>183</v>
      </c>
      <c r="N153" s="136"/>
      <c r="O153" s="136"/>
      <c r="P153" s="136"/>
      <c r="Q153" s="86" t="s">
        <v>210</v>
      </c>
      <c r="R153" s="42"/>
      <c r="S153" s="205"/>
    </row>
    <row r="154" spans="2:19" ht="34.5" hidden="1" customHeight="1">
      <c r="C154" s="3" t="s">
        <v>291</v>
      </c>
      <c r="D154" s="20"/>
      <c r="F154" s="20"/>
      <c r="G154" s="100">
        <f>H154*O154</f>
        <v>6300000</v>
      </c>
      <c r="H154" s="1">
        <v>700</v>
      </c>
      <c r="I154" s="40">
        <f>J154*O154</f>
        <v>6300000</v>
      </c>
      <c r="J154" s="49">
        <f>H154-N154</f>
        <v>700</v>
      </c>
      <c r="K154" s="4"/>
      <c r="L154" s="4"/>
      <c r="M154" s="191"/>
      <c r="N154" s="4"/>
      <c r="O154" s="22">
        <v>9000</v>
      </c>
      <c r="P154" s="4" t="s">
        <v>36</v>
      </c>
      <c r="Q154" s="4" t="s">
        <v>98</v>
      </c>
      <c r="R154" s="64" t="s">
        <v>158</v>
      </c>
      <c r="S154" s="32" t="s">
        <v>97</v>
      </c>
    </row>
    <row r="155" spans="2:19" ht="34.5" hidden="1" customHeight="1">
      <c r="D155" s="20"/>
      <c r="F155" s="20"/>
      <c r="G155" s="100"/>
      <c r="H155" s="1"/>
      <c r="I155" s="40">
        <f>J155*O155</f>
        <v>0</v>
      </c>
      <c r="J155" s="49">
        <f>H155-N155</f>
        <v>0</v>
      </c>
      <c r="K155" s="4"/>
      <c r="L155" s="4"/>
      <c r="M155" s="191"/>
      <c r="N155" s="4"/>
      <c r="O155" s="22">
        <v>43200</v>
      </c>
      <c r="P155" s="4" t="s">
        <v>36</v>
      </c>
      <c r="Q155" s="4" t="s">
        <v>106</v>
      </c>
      <c r="R155" s="64" t="s">
        <v>158</v>
      </c>
      <c r="S155" s="32" t="s">
        <v>105</v>
      </c>
    </row>
    <row r="156" spans="2:19" s="171" customFormat="1" ht="34.5" hidden="1" customHeight="1" thickBot="1">
      <c r="B156" s="260"/>
      <c r="C156" s="263"/>
      <c r="D156" s="131"/>
      <c r="F156" s="131"/>
      <c r="G156" s="397">
        <f>SUM(G154:G155)</f>
        <v>6300000</v>
      </c>
      <c r="H156" s="398"/>
      <c r="I156" s="399">
        <f>SUM(I154:I155)</f>
        <v>6300000</v>
      </c>
      <c r="J156" s="399"/>
      <c r="K156" s="411">
        <f>SUM(K154:K155)</f>
        <v>0</v>
      </c>
      <c r="L156" s="411"/>
      <c r="M156" s="411">
        <f>SUM(M154:M155)</f>
        <v>0</v>
      </c>
      <c r="N156" s="411"/>
      <c r="O156" s="133"/>
      <c r="P156" s="132"/>
      <c r="Q156" s="134" t="s">
        <v>60</v>
      </c>
      <c r="R156" s="172"/>
      <c r="S156" s="217"/>
    </row>
    <row r="157" spans="2:19" ht="32.25" hidden="1" customHeight="1">
      <c r="D157" s="177"/>
      <c r="F157" s="177"/>
      <c r="G157" s="103"/>
      <c r="H157" s="75"/>
      <c r="I157" s="40">
        <f>J157*O157</f>
        <v>0</v>
      </c>
      <c r="J157" s="49">
        <f>H157-N157</f>
        <v>0</v>
      </c>
      <c r="K157" s="75"/>
      <c r="L157" s="75"/>
      <c r="M157" s="191"/>
      <c r="N157" s="75"/>
      <c r="O157" s="90">
        <v>40700</v>
      </c>
      <c r="P157" s="4" t="s">
        <v>125</v>
      </c>
      <c r="Q157" s="71" t="s">
        <v>168</v>
      </c>
      <c r="R157" s="72" t="s">
        <v>158</v>
      </c>
      <c r="S157" s="214">
        <v>190103</v>
      </c>
    </row>
    <row r="158" spans="2:19" ht="32.25" hidden="1" customHeight="1">
      <c r="D158" s="177">
        <v>4369.33</v>
      </c>
      <c r="F158" s="177"/>
      <c r="G158" s="103">
        <f>H158*O158</f>
        <v>27087800</v>
      </c>
      <c r="H158" s="75">
        <v>4369</v>
      </c>
      <c r="I158" s="40">
        <f>J158*O158</f>
        <v>27087800</v>
      </c>
      <c r="J158" s="49">
        <f>H158-N158</f>
        <v>4369</v>
      </c>
      <c r="K158" s="75"/>
      <c r="L158" s="75"/>
      <c r="M158" s="191"/>
      <c r="N158" s="75"/>
      <c r="O158" s="90">
        <v>6200</v>
      </c>
      <c r="P158" s="4" t="s">
        <v>125</v>
      </c>
      <c r="Q158" s="71" t="s">
        <v>256</v>
      </c>
      <c r="R158" s="72" t="s">
        <v>158</v>
      </c>
      <c r="S158" s="212" t="s">
        <v>255</v>
      </c>
    </row>
    <row r="159" spans="2:19" ht="32.25" hidden="1" customHeight="1">
      <c r="B159" s="259">
        <v>450</v>
      </c>
      <c r="C159" s="3">
        <v>300</v>
      </c>
      <c r="D159" s="5">
        <v>348.75</v>
      </c>
      <c r="F159" s="5"/>
      <c r="G159" s="103">
        <f>H159*O159</f>
        <v>61048800</v>
      </c>
      <c r="H159" s="1">
        <f>348+300+450</f>
        <v>1098</v>
      </c>
      <c r="I159" s="40">
        <f>J159*O159</f>
        <v>61048800</v>
      </c>
      <c r="J159" s="49">
        <f>H159-N159</f>
        <v>1098</v>
      </c>
      <c r="K159" s="4"/>
      <c r="L159" s="4"/>
      <c r="M159" s="191"/>
      <c r="N159" s="4"/>
      <c r="O159" s="22">
        <v>55600</v>
      </c>
      <c r="P159" s="4" t="s">
        <v>108</v>
      </c>
      <c r="Q159" s="46" t="s">
        <v>150</v>
      </c>
      <c r="R159" s="72" t="s">
        <v>158</v>
      </c>
      <c r="S159" s="32" t="s">
        <v>149</v>
      </c>
    </row>
    <row r="160" spans="2:19" ht="32.25" hidden="1" customHeight="1">
      <c r="D160" s="57"/>
      <c r="F160" s="57"/>
      <c r="G160" s="103">
        <f>H160*O160</f>
        <v>10680000</v>
      </c>
      <c r="H160" s="1">
        <v>120</v>
      </c>
      <c r="I160" s="40">
        <f>J160*O160</f>
        <v>-7120000</v>
      </c>
      <c r="J160" s="49">
        <f>H160-N160</f>
        <v>-80</v>
      </c>
      <c r="K160" s="59"/>
      <c r="L160" s="59"/>
      <c r="M160" s="191">
        <f>N160*O160</f>
        <v>17800000</v>
      </c>
      <c r="N160" s="59">
        <v>200</v>
      </c>
      <c r="O160" s="60">
        <v>89000</v>
      </c>
      <c r="P160" s="59" t="s">
        <v>64</v>
      </c>
      <c r="Q160" s="247" t="s">
        <v>244</v>
      </c>
      <c r="R160" s="72" t="s">
        <v>159</v>
      </c>
      <c r="S160" s="76" t="s">
        <v>243</v>
      </c>
    </row>
    <row r="161" spans="2:28" s="178" customFormat="1" ht="32.25" hidden="1" customHeight="1" thickBot="1">
      <c r="B161" s="261"/>
      <c r="C161" s="264"/>
      <c r="D161" s="179"/>
      <c r="F161" s="179"/>
      <c r="G161" s="407">
        <f>SUM(G157:G160)</f>
        <v>98816600</v>
      </c>
      <c r="H161" s="408"/>
      <c r="I161" s="403">
        <f>SUM(I157:I160)</f>
        <v>81016600</v>
      </c>
      <c r="J161" s="403"/>
      <c r="K161" s="434" t="e">
        <f>SUM(#REF!)</f>
        <v>#REF!</v>
      </c>
      <c r="L161" s="434"/>
      <c r="M161" s="434">
        <f>SUM(M157:M160)</f>
        <v>17800000</v>
      </c>
      <c r="N161" s="434"/>
      <c r="O161" s="182"/>
      <c r="P161" s="181"/>
      <c r="Q161" s="183" t="s">
        <v>107</v>
      </c>
      <c r="R161" s="184"/>
      <c r="S161" s="221"/>
    </row>
    <row r="162" spans="2:28" ht="25.5" hidden="1" customHeight="1" thickBot="1">
      <c r="D162" s="85"/>
      <c r="F162" s="85"/>
      <c r="G162" s="145"/>
      <c r="H162" s="136"/>
      <c r="I162" s="146"/>
      <c r="J162" s="146"/>
      <c r="K162" s="136"/>
      <c r="L162" s="136"/>
      <c r="M162" s="202" t="s">
        <v>183</v>
      </c>
      <c r="N162" s="136"/>
      <c r="O162" s="136"/>
      <c r="P162" s="136"/>
      <c r="Q162" s="86" t="s">
        <v>211</v>
      </c>
      <c r="R162" s="42"/>
      <c r="S162" s="205"/>
    </row>
    <row r="163" spans="2:28" ht="33" hidden="1" customHeight="1">
      <c r="B163" s="265">
        <f>(C110+B110)*0.25*45</f>
        <v>34233.75</v>
      </c>
      <c r="D163" s="20">
        <v>32089.8</v>
      </c>
      <c r="F163" s="20"/>
      <c r="G163" s="100">
        <f>H163*O163</f>
        <v>24207530</v>
      </c>
      <c r="H163" s="1">
        <f>32089+34233</f>
        <v>66322</v>
      </c>
      <c r="I163" s="40">
        <f>J163*O163</f>
        <v>11620870</v>
      </c>
      <c r="J163" s="49">
        <f>H163-N163</f>
        <v>31838</v>
      </c>
      <c r="K163" s="4"/>
      <c r="L163" s="4"/>
      <c r="M163" s="191">
        <f>N163*O163</f>
        <v>12586660</v>
      </c>
      <c r="N163" s="4">
        <v>34484</v>
      </c>
      <c r="O163" s="22">
        <v>365</v>
      </c>
      <c r="P163" s="4" t="s">
        <v>59</v>
      </c>
      <c r="Q163" s="4" t="s">
        <v>56</v>
      </c>
      <c r="R163" s="64" t="s">
        <v>158</v>
      </c>
      <c r="S163" s="207" t="s">
        <v>53</v>
      </c>
    </row>
    <row r="164" spans="2:28" ht="33" hidden="1" customHeight="1">
      <c r="B164" s="265">
        <f>(C110+B110)*0.25*75</f>
        <v>57056.25</v>
      </c>
      <c r="D164" s="20">
        <v>27643.439999999999</v>
      </c>
      <c r="F164" s="20"/>
      <c r="G164" s="100">
        <f>H164*O164</f>
        <v>20751255</v>
      </c>
      <c r="H164" s="1">
        <f>27643+57056</f>
        <v>84699</v>
      </c>
      <c r="I164" s="40">
        <f>J164*O164</f>
        <v>13560995</v>
      </c>
      <c r="J164" s="49">
        <f>H164-N164</f>
        <v>55351</v>
      </c>
      <c r="K164" s="4"/>
      <c r="L164" s="4"/>
      <c r="M164" s="191">
        <f>N164*O164</f>
        <v>7190260</v>
      </c>
      <c r="N164" s="4">
        <v>29348</v>
      </c>
      <c r="O164" s="22">
        <v>245</v>
      </c>
      <c r="P164" s="4" t="s">
        <v>59</v>
      </c>
      <c r="Q164" s="4" t="s">
        <v>57</v>
      </c>
      <c r="R164" s="64" t="s">
        <v>158</v>
      </c>
      <c r="S164" s="207" t="s">
        <v>54</v>
      </c>
    </row>
    <row r="165" spans="2:28" ht="33" hidden="1" customHeight="1">
      <c r="B165" s="265">
        <f>(C110+B110)*0.25*150</f>
        <v>114112.5</v>
      </c>
      <c r="D165" s="20">
        <v>10067.700000000001</v>
      </c>
      <c r="F165" s="20"/>
      <c r="G165" s="100">
        <f>H165*O165</f>
        <v>1560385</v>
      </c>
      <c r="H165" s="1">
        <v>10067</v>
      </c>
      <c r="I165" s="40">
        <f>J165*O165</f>
        <v>91295</v>
      </c>
      <c r="J165" s="49">
        <f>H165-N165</f>
        <v>589</v>
      </c>
      <c r="K165" s="4"/>
      <c r="L165" s="4"/>
      <c r="M165" s="191">
        <f>N165*O165</f>
        <v>1469090</v>
      </c>
      <c r="N165" s="4">
        <v>9478</v>
      </c>
      <c r="O165" s="22">
        <v>155</v>
      </c>
      <c r="P165" s="4" t="s">
        <v>59</v>
      </c>
      <c r="Q165" s="4" t="s">
        <v>58</v>
      </c>
      <c r="R165" s="64" t="s">
        <v>158</v>
      </c>
      <c r="S165" s="207" t="s">
        <v>55</v>
      </c>
    </row>
    <row r="166" spans="2:28" ht="33" hidden="1" customHeight="1">
      <c r="B166" s="265"/>
      <c r="D166" s="20">
        <v>10067.700000000001</v>
      </c>
      <c r="F166" s="20"/>
      <c r="G166" s="100">
        <f>H166*O166</f>
        <v>1258375</v>
      </c>
      <c r="H166" s="1">
        <v>10067</v>
      </c>
      <c r="I166" s="40">
        <f>J166*O166</f>
        <v>73625</v>
      </c>
      <c r="J166" s="49">
        <f>H166-N166</f>
        <v>589</v>
      </c>
      <c r="K166" s="4"/>
      <c r="L166" s="4"/>
      <c r="M166" s="191">
        <f>N166*O166</f>
        <v>1184750</v>
      </c>
      <c r="N166" s="4">
        <v>9478</v>
      </c>
      <c r="O166" s="22">
        <v>125</v>
      </c>
      <c r="P166" s="4" t="s">
        <v>59</v>
      </c>
      <c r="Q166" s="4" t="s">
        <v>113</v>
      </c>
      <c r="R166" s="64" t="s">
        <v>158</v>
      </c>
      <c r="S166" s="207" t="s">
        <v>112</v>
      </c>
    </row>
    <row r="167" spans="2:28" ht="33" hidden="1" customHeight="1">
      <c r="B167" s="265"/>
      <c r="D167" s="20">
        <v>3355.9</v>
      </c>
      <c r="F167" s="20"/>
      <c r="G167" s="100">
        <f>H167*O167</f>
        <v>369050</v>
      </c>
      <c r="H167" s="1">
        <v>3355</v>
      </c>
      <c r="I167" s="40">
        <f>J167*O167</f>
        <v>21560</v>
      </c>
      <c r="J167" s="49">
        <f>H167-N167</f>
        <v>196</v>
      </c>
      <c r="K167" s="4"/>
      <c r="L167" s="4"/>
      <c r="M167" s="191">
        <f>N167*O167</f>
        <v>347490</v>
      </c>
      <c r="N167" s="4">
        <v>3159</v>
      </c>
      <c r="O167" s="22">
        <v>110</v>
      </c>
      <c r="P167" s="4" t="s">
        <v>59</v>
      </c>
      <c r="Q167" s="4" t="s">
        <v>127</v>
      </c>
      <c r="R167" s="64" t="s">
        <v>158</v>
      </c>
      <c r="S167" s="207" t="s">
        <v>126</v>
      </c>
    </row>
    <row r="168" spans="2:28" s="178" customFormat="1" ht="33" hidden="1" customHeight="1" thickBot="1">
      <c r="B168" s="261"/>
      <c r="C168" s="264"/>
      <c r="D168" s="179"/>
      <c r="F168" s="179"/>
      <c r="G168" s="407">
        <f>SUM(G163:G167)</f>
        <v>48146595</v>
      </c>
      <c r="H168" s="408"/>
      <c r="I168" s="403">
        <f>SUM(I163:I167)</f>
        <v>25368345</v>
      </c>
      <c r="J168" s="403"/>
      <c r="K168" s="434">
        <f>SUM(K163:K167)</f>
        <v>0</v>
      </c>
      <c r="L168" s="434"/>
      <c r="M168" s="434">
        <f>SUM(M163:M167)</f>
        <v>22778250</v>
      </c>
      <c r="N168" s="434"/>
      <c r="O168" s="182"/>
      <c r="P168" s="181"/>
      <c r="Q168" s="181" t="s">
        <v>14</v>
      </c>
      <c r="R168" s="180"/>
      <c r="S168" s="221"/>
    </row>
    <row r="169" spans="2:28" ht="49.5" hidden="1" customHeight="1"/>
    <row r="170" spans="2:28" ht="49.5" hidden="1" customHeight="1"/>
    <row r="171" spans="2:28" ht="49.5" hidden="1" customHeight="1"/>
    <row r="172" spans="2:28" ht="49.5" hidden="1" customHeight="1">
      <c r="T172" s="3"/>
      <c r="U172" s="3"/>
      <c r="V172" s="3"/>
      <c r="W172" s="3"/>
      <c r="X172" s="3"/>
      <c r="Y172" s="3"/>
      <c r="Z172" s="14"/>
      <c r="AA172" s="14"/>
      <c r="AB172" s="12"/>
    </row>
    <row r="173" spans="2:28" ht="49.5" hidden="1" customHeight="1">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D176" s="25"/>
      <c r="F176" s="25"/>
      <c r="T176" s="3"/>
      <c r="U176" s="3"/>
      <c r="V176" s="3"/>
      <c r="W176" s="3"/>
      <c r="X176" s="3"/>
      <c r="Y176" s="3"/>
      <c r="Z176" s="14"/>
      <c r="AA176" s="14"/>
      <c r="AB176" s="12"/>
    </row>
    <row r="177" spans="4:28" ht="49.5" hidden="1" customHeight="1">
      <c r="T177" s="3"/>
      <c r="U177" s="3"/>
      <c r="V177" s="3"/>
      <c r="W177" s="3"/>
      <c r="X177" s="3"/>
      <c r="Y177" s="3"/>
      <c r="Z177" s="14"/>
      <c r="AA177" s="14"/>
      <c r="AB177" s="12"/>
    </row>
    <row r="178" spans="4:28" ht="49.5" hidden="1" customHeight="1">
      <c r="D178" s="26"/>
      <c r="F178" s="26"/>
      <c r="T178" s="3"/>
      <c r="U178" s="3"/>
      <c r="V178" s="3"/>
      <c r="W178" s="3"/>
      <c r="X178" s="3"/>
      <c r="Y178" s="3"/>
      <c r="Z178" s="14"/>
      <c r="AA178" s="14"/>
      <c r="AB178" s="12"/>
    </row>
    <row r="179" spans="4:28" ht="49.5" hidden="1" customHeight="1">
      <c r="T179" s="3"/>
      <c r="U179" s="3"/>
      <c r="V179" s="3"/>
      <c r="W179" s="3"/>
      <c r="X179" s="3"/>
      <c r="Y179" s="3"/>
      <c r="Z179" s="14"/>
      <c r="AA179" s="14"/>
      <c r="AB179" s="12"/>
    </row>
    <row r="180" spans="4:28" ht="49.5" hidden="1" customHeight="1">
      <c r="T180" s="3"/>
      <c r="U180" s="3"/>
      <c r="V180" s="3"/>
      <c r="W180" s="3"/>
      <c r="X180" s="3"/>
      <c r="Y180" s="3"/>
      <c r="Z180" s="14"/>
      <c r="AA180" s="14"/>
      <c r="AB180" s="12"/>
    </row>
    <row r="181" spans="4:28" ht="49.5" hidden="1" customHeight="1">
      <c r="T181" s="3"/>
      <c r="U181" s="3"/>
      <c r="V181" s="3"/>
      <c r="W181" s="3"/>
      <c r="X181" s="3"/>
      <c r="Y181" s="3"/>
      <c r="Z181" s="14"/>
      <c r="AA181" s="14"/>
      <c r="AB181" s="12"/>
    </row>
    <row r="182" spans="4:28" ht="49.5" hidden="1" customHeight="1">
      <c r="D182" s="16">
        <v>1.25</v>
      </c>
      <c r="F182" s="16">
        <v>1.25</v>
      </c>
      <c r="I182" s="33" t="s">
        <v>69</v>
      </c>
      <c r="J182" s="33" t="s">
        <v>67</v>
      </c>
      <c r="T182" s="3"/>
      <c r="U182" s="3"/>
      <c r="V182" s="3"/>
      <c r="W182" s="3"/>
      <c r="X182" s="3"/>
      <c r="Y182" s="3"/>
      <c r="Z182" s="14"/>
      <c r="AA182" s="14"/>
      <c r="AB182" s="12"/>
    </row>
    <row r="183" spans="4:28" ht="49.5" hidden="1" customHeight="1">
      <c r="D183" s="16" t="e">
        <f>G168+#REF!+#REF!+G156+#REF!+G148+#REF!+G125+G101+#REF!+G96+G84+#REF!+G40+G17+#REF!</f>
        <v>#REF!</v>
      </c>
      <c r="F183" s="16" t="e">
        <f>I168+#REF!+#REF!+I156+#REF!+I148+#REF!+I125+I101+#REF!+I96+I84+#REF!+I40+I17+#REF!</f>
        <v>#REF!</v>
      </c>
      <c r="I183" s="53" t="e">
        <f>K168+#REF!+#REF!+K156+#REF!+K148+#REF!+K125+K101+#REF!+K96+K84+#REF!+K40+K17+#REF!</f>
        <v>#REF!</v>
      </c>
      <c r="J183" s="33" t="e">
        <f>M168+#REF!+#REF!+M156+#REF!+#REF!+M125+M101+#REF!+M96+M84+M40+#REF!+M17+M148+#REF!</f>
        <v>#REF!</v>
      </c>
      <c r="T183" s="3"/>
      <c r="U183" s="3"/>
      <c r="V183" s="3"/>
      <c r="W183" s="3"/>
      <c r="X183" s="3"/>
      <c r="Y183" s="3"/>
      <c r="Z183" s="14"/>
      <c r="AA183" s="14"/>
      <c r="AB183" s="12"/>
    </row>
    <row r="184" spans="4:28" ht="49.5" customHeight="1">
      <c r="T184" s="3"/>
      <c r="U184" s="3"/>
      <c r="V184" s="3"/>
      <c r="W184" s="3"/>
      <c r="X184" s="3"/>
      <c r="Y184" s="3"/>
      <c r="Z184" s="14"/>
      <c r="AA184" s="14"/>
      <c r="AB184" s="12"/>
    </row>
    <row r="185" spans="4:28" ht="49.5" customHeight="1">
      <c r="T185" s="3"/>
      <c r="U185" s="3"/>
      <c r="V185" s="3"/>
      <c r="W185" s="3"/>
      <c r="X185" s="3"/>
      <c r="Y185" s="3"/>
      <c r="Z185" s="14"/>
      <c r="AA185" s="14"/>
      <c r="AB185" s="12"/>
    </row>
    <row r="186" spans="4:28" ht="49.5" customHeight="1">
      <c r="T186" s="3"/>
      <c r="U186" s="3"/>
      <c r="V186" s="3"/>
      <c r="W186" s="3"/>
      <c r="X186" s="3"/>
      <c r="Y186" s="3"/>
      <c r="Z186" s="14"/>
      <c r="AA186" s="14"/>
      <c r="AB186" s="12"/>
    </row>
    <row r="187" spans="4:28" ht="49.5" customHeight="1">
      <c r="T187" s="3"/>
      <c r="U187" s="3"/>
      <c r="V187" s="3"/>
      <c r="W187" s="3"/>
      <c r="X187" s="3"/>
      <c r="Y187" s="3"/>
      <c r="Z187" s="14"/>
      <c r="AA187" s="14"/>
      <c r="AB187" s="12"/>
    </row>
    <row r="188" spans="4:28" ht="49.5" customHeight="1">
      <c r="T188" s="3"/>
      <c r="U188" s="3"/>
      <c r="V188" s="3"/>
      <c r="W188" s="3"/>
      <c r="X188" s="3"/>
      <c r="Y188" s="3"/>
      <c r="Z188" s="14"/>
      <c r="AA188" s="14"/>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row r="197" spans="26:28" ht="49.5" customHeight="1">
      <c r="Z197" s="12"/>
      <c r="AA197" s="12"/>
      <c r="AB197" s="12"/>
    </row>
    <row r="198" spans="26:28" ht="49.5" customHeight="1">
      <c r="Z198" s="12"/>
      <c r="AA198" s="12"/>
      <c r="AB198" s="12"/>
    </row>
    <row r="199" spans="26:28" ht="49.5" customHeight="1">
      <c r="Z199" s="12"/>
      <c r="AA199" s="12"/>
      <c r="AB199" s="12"/>
    </row>
    <row r="200" spans="26:28" ht="49.5" customHeight="1">
      <c r="Z200" s="12"/>
      <c r="AA200" s="12"/>
      <c r="AB200" s="12"/>
    </row>
    <row r="201" spans="26:28" ht="49.5" customHeight="1">
      <c r="Z201" s="12"/>
      <c r="AA201" s="12"/>
      <c r="AB201" s="12"/>
    </row>
    <row r="202" spans="26:28" ht="49.5" customHeight="1">
      <c r="Z202" s="12"/>
      <c r="AA202" s="12"/>
      <c r="AB202" s="12"/>
    </row>
  </sheetData>
  <mergeCells count="130">
    <mergeCell ref="G1:H1"/>
    <mergeCell ref="I1:J1"/>
    <mergeCell ref="D3:D4"/>
    <mergeCell ref="F3:F4"/>
    <mergeCell ref="G3:H3"/>
    <mergeCell ref="I3:J3"/>
    <mergeCell ref="K3:L3"/>
    <mergeCell ref="M3:N3"/>
    <mergeCell ref="O3:O4"/>
    <mergeCell ref="P3:P4"/>
    <mergeCell ref="Q3:Q4"/>
    <mergeCell ref="S3:S4"/>
    <mergeCell ref="I17:J17"/>
    <mergeCell ref="K17:L17"/>
    <mergeCell ref="M17:N17"/>
    <mergeCell ref="G19:H19"/>
    <mergeCell ref="I19:J19"/>
    <mergeCell ref="D22:D23"/>
    <mergeCell ref="F22:F23"/>
    <mergeCell ref="G22:H22"/>
    <mergeCell ref="I22:J22"/>
    <mergeCell ref="K22:L22"/>
    <mergeCell ref="M22:N22"/>
    <mergeCell ref="O22:O23"/>
    <mergeCell ref="P22:P23"/>
    <mergeCell ref="Q22:Q23"/>
    <mergeCell ref="S22:S23"/>
    <mergeCell ref="G40:H40"/>
    <mergeCell ref="I40:J40"/>
    <mergeCell ref="K40:L40"/>
    <mergeCell ref="M40:N40"/>
    <mergeCell ref="G42:H42"/>
    <mergeCell ref="I42:J42"/>
    <mergeCell ref="G60:H60"/>
    <mergeCell ref="I60:J60"/>
    <mergeCell ref="K60:L60"/>
    <mergeCell ref="M60:N60"/>
    <mergeCell ref="G62:H62"/>
    <mergeCell ref="I62:J62"/>
    <mergeCell ref="D65:D66"/>
    <mergeCell ref="F65:F66"/>
    <mergeCell ref="G65:H65"/>
    <mergeCell ref="I65:J65"/>
    <mergeCell ref="K65:L65"/>
    <mergeCell ref="M65:N65"/>
    <mergeCell ref="O65:O66"/>
    <mergeCell ref="P65:P66"/>
    <mergeCell ref="Q65:Q66"/>
    <mergeCell ref="S65:S66"/>
    <mergeCell ref="G71:H71"/>
    <mergeCell ref="I71:J71"/>
    <mergeCell ref="M71:N71"/>
    <mergeCell ref="G84:H84"/>
    <mergeCell ref="I84:J84"/>
    <mergeCell ref="K84:L84"/>
    <mergeCell ref="M84:N84"/>
    <mergeCell ref="G86:H86"/>
    <mergeCell ref="I86:J86"/>
    <mergeCell ref="D89:D90"/>
    <mergeCell ref="F89:F90"/>
    <mergeCell ref="G89:H89"/>
    <mergeCell ref="I89:J89"/>
    <mergeCell ref="K89:L89"/>
    <mergeCell ref="M89:N89"/>
    <mergeCell ref="O89:O90"/>
    <mergeCell ref="P89:P90"/>
    <mergeCell ref="Q89:Q90"/>
    <mergeCell ref="S89:S90"/>
    <mergeCell ref="G96:H96"/>
    <mergeCell ref="I96:J96"/>
    <mergeCell ref="K96:L96"/>
    <mergeCell ref="M96:N96"/>
    <mergeCell ref="O96:P96"/>
    <mergeCell ref="G101:H101"/>
    <mergeCell ref="I101:J101"/>
    <mergeCell ref="K101:L101"/>
    <mergeCell ref="M101:N101"/>
    <mergeCell ref="G103:H103"/>
    <mergeCell ref="I103:J103"/>
    <mergeCell ref="D106:D107"/>
    <mergeCell ref="F106:F107"/>
    <mergeCell ref="G106:H106"/>
    <mergeCell ref="I106:J106"/>
    <mergeCell ref="K106:L106"/>
    <mergeCell ref="M106:N106"/>
    <mergeCell ref="O106:O107"/>
    <mergeCell ref="P106:P107"/>
    <mergeCell ref="Q106:Q107"/>
    <mergeCell ref="S106:S107"/>
    <mergeCell ref="G125:H125"/>
    <mergeCell ref="I125:J125"/>
    <mergeCell ref="K125:L125"/>
    <mergeCell ref="M125:N125"/>
    <mergeCell ref="G127:H127"/>
    <mergeCell ref="I127:J127"/>
    <mergeCell ref="M148:N148"/>
    <mergeCell ref="S130:S131"/>
    <mergeCell ref="G135:H135"/>
    <mergeCell ref="I135:J135"/>
    <mergeCell ref="K135:L135"/>
    <mergeCell ref="M135:N135"/>
    <mergeCell ref="D130:D131"/>
    <mergeCell ref="F130:F131"/>
    <mergeCell ref="G130:H130"/>
    <mergeCell ref="I130:J130"/>
    <mergeCell ref="K130:L130"/>
    <mergeCell ref="P1:Q1"/>
    <mergeCell ref="P5:Q5"/>
    <mergeCell ref="G168:H168"/>
    <mergeCell ref="I168:J168"/>
    <mergeCell ref="K168:L168"/>
    <mergeCell ref="M168:N168"/>
    <mergeCell ref="G156:H156"/>
    <mergeCell ref="I156:J156"/>
    <mergeCell ref="K156:L156"/>
    <mergeCell ref="M156:N156"/>
    <mergeCell ref="G161:H161"/>
    <mergeCell ref="I161:J161"/>
    <mergeCell ref="O148:P148"/>
    <mergeCell ref="G151:H151"/>
    <mergeCell ref="I151:J151"/>
    <mergeCell ref="O130:O131"/>
    <mergeCell ref="P130:P131"/>
    <mergeCell ref="Q130:Q131"/>
    <mergeCell ref="M130:N130"/>
    <mergeCell ref="K161:L161"/>
    <mergeCell ref="M161:N161"/>
    <mergeCell ref="G148:H148"/>
    <mergeCell ref="I148:J148"/>
    <mergeCell ref="K148:L148"/>
  </mergeCells>
  <printOptions horizontalCentered="1"/>
  <pageMargins left="0" right="0" top="0.78740157480314965" bottom="0.98425196850393704" header="0.39370078740157483" footer="0.59055118110236227"/>
  <pageSetup paperSize="9" scale="90"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7"/>
  <sheetViews>
    <sheetView view="pageBreakPreview" topLeftCell="F1" zoomScaleNormal="85" zoomScaleSheetLayoutView="100" workbookViewId="0">
      <selection activeCell="P1" sqref="P1:Q1"/>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6.7109375" style="16" bestFit="1" customWidth="1"/>
    <col min="7" max="7" width="14.85546875" style="95" customWidth="1"/>
    <col min="8" max="8" width="11.140625" style="16" customWidth="1"/>
    <col min="9" max="9" width="13.140625" style="33" customWidth="1"/>
    <col min="10" max="10" width="10.140625"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519</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9" t="s">
        <v>142</v>
      </c>
      <c r="K4" s="357" t="s">
        <v>4</v>
      </c>
      <c r="L4" s="357" t="s">
        <v>3</v>
      </c>
      <c r="M4" s="100" t="s">
        <v>141</v>
      </c>
      <c r="N4" s="357" t="s">
        <v>140</v>
      </c>
      <c r="O4" s="429"/>
      <c r="P4" s="388"/>
      <c r="Q4" s="388"/>
      <c r="R4" s="2"/>
      <c r="S4" s="421"/>
    </row>
    <row r="5" spans="2:19" ht="23.25" customHeight="1" thickBot="1">
      <c r="D5" s="85"/>
      <c r="F5" s="176"/>
      <c r="G5" s="145"/>
      <c r="H5" s="136"/>
      <c r="I5" s="146"/>
      <c r="J5" s="146"/>
      <c r="K5" s="136"/>
      <c r="L5" s="136"/>
      <c r="M5" s="145" t="s">
        <v>381</v>
      </c>
      <c r="N5" s="136"/>
      <c r="O5" s="136"/>
      <c r="P5" s="136"/>
      <c r="Q5" s="86" t="s">
        <v>471</v>
      </c>
      <c r="R5" s="42"/>
      <c r="S5" s="220"/>
    </row>
    <row r="6" spans="2:19" ht="33" customHeight="1">
      <c r="B6" s="259" t="s">
        <v>257</v>
      </c>
      <c r="C6" s="3" t="s">
        <v>280</v>
      </c>
      <c r="D6" s="20">
        <v>496.94</v>
      </c>
      <c r="F6" s="20"/>
      <c r="G6" s="269"/>
      <c r="H6" s="269">
        <f>(J6-N6)*O6</f>
        <v>6264138.4000000004</v>
      </c>
      <c r="I6" s="269">
        <f t="shared" ref="I6:I11" si="0">J6*O6</f>
        <v>10757916</v>
      </c>
      <c r="J6" s="6">
        <v>10344.15</v>
      </c>
      <c r="K6" s="6"/>
      <c r="L6" s="6"/>
      <c r="M6" s="269">
        <f t="shared" ref="M6:M11" si="1">N6*O6</f>
        <v>4493777.5999999996</v>
      </c>
      <c r="N6" s="6">
        <v>4320.9399999999996</v>
      </c>
      <c r="O6" s="22">
        <v>1040</v>
      </c>
      <c r="P6" s="6" t="s">
        <v>364</v>
      </c>
      <c r="Q6" s="6" t="s">
        <v>359</v>
      </c>
      <c r="R6" s="63" t="s">
        <v>158</v>
      </c>
      <c r="S6" s="38" t="s">
        <v>354</v>
      </c>
    </row>
    <row r="7" spans="2:19" ht="33" customHeight="1">
      <c r="D7" s="20"/>
      <c r="F7" s="20"/>
      <c r="G7" s="269"/>
      <c r="H7" s="269">
        <f t="shared" ref="H7:H11" si="2">(J7-N7)*O7</f>
        <v>7027076</v>
      </c>
      <c r="I7" s="269">
        <f t="shared" si="0"/>
        <v>12068175</v>
      </c>
      <c r="J7" s="6">
        <v>17240.25</v>
      </c>
      <c r="K7" s="6"/>
      <c r="L7" s="6"/>
      <c r="M7" s="269">
        <f t="shared" si="1"/>
        <v>5041099</v>
      </c>
      <c r="N7" s="6">
        <v>7201.57</v>
      </c>
      <c r="O7" s="22">
        <v>700</v>
      </c>
      <c r="P7" s="6" t="s">
        <v>364</v>
      </c>
      <c r="Q7" s="6" t="s">
        <v>360</v>
      </c>
      <c r="R7" s="63" t="s">
        <v>158</v>
      </c>
      <c r="S7" s="38" t="s">
        <v>355</v>
      </c>
    </row>
    <row r="8" spans="2:19" ht="33" customHeight="1">
      <c r="D8" s="57"/>
      <c r="F8" s="57"/>
      <c r="G8" s="269"/>
      <c r="H8" s="269">
        <f t="shared" si="2"/>
        <v>7884887.9999999991</v>
      </c>
      <c r="I8" s="269">
        <f t="shared" si="0"/>
        <v>13151644</v>
      </c>
      <c r="J8" s="7">
        <v>29890.1</v>
      </c>
      <c r="K8" s="7"/>
      <c r="L8" s="7"/>
      <c r="M8" s="269">
        <f t="shared" si="1"/>
        <v>5266756</v>
      </c>
      <c r="N8" s="7">
        <v>11969.9</v>
      </c>
      <c r="O8" s="60">
        <v>440</v>
      </c>
      <c r="P8" s="6" t="s">
        <v>364</v>
      </c>
      <c r="Q8" s="6" t="s">
        <v>361</v>
      </c>
      <c r="R8" s="63" t="s">
        <v>158</v>
      </c>
      <c r="S8" s="61" t="s">
        <v>356</v>
      </c>
    </row>
    <row r="9" spans="2:19" ht="38.25" customHeight="1">
      <c r="D9" s="57"/>
      <c r="F9" s="57"/>
      <c r="G9" s="269"/>
      <c r="H9" s="269">
        <f t="shared" si="2"/>
        <v>4375638.25</v>
      </c>
      <c r="I9" s="269">
        <f t="shared" si="0"/>
        <v>6302272.5</v>
      </c>
      <c r="J9" s="7">
        <v>17266.5</v>
      </c>
      <c r="K9" s="7"/>
      <c r="L9" s="7"/>
      <c r="M9" s="269">
        <f t="shared" si="1"/>
        <v>1926634.25</v>
      </c>
      <c r="N9" s="7">
        <v>5278.45</v>
      </c>
      <c r="O9" s="60">
        <v>365</v>
      </c>
      <c r="P9" s="6" t="s">
        <v>364</v>
      </c>
      <c r="Q9" s="6" t="s">
        <v>362</v>
      </c>
      <c r="R9" s="63" t="s">
        <v>158</v>
      </c>
      <c r="S9" s="61" t="s">
        <v>357</v>
      </c>
    </row>
    <row r="10" spans="2:19" ht="33" customHeight="1">
      <c r="D10" s="57"/>
      <c r="F10" s="57"/>
      <c r="G10" s="269"/>
      <c r="H10" s="269">
        <f t="shared" si="2"/>
        <v>7432587.9000000004</v>
      </c>
      <c r="I10" s="269">
        <f t="shared" si="0"/>
        <v>10705230</v>
      </c>
      <c r="J10" s="7">
        <v>34533</v>
      </c>
      <c r="K10" s="7"/>
      <c r="L10" s="7"/>
      <c r="M10" s="269">
        <f t="shared" si="1"/>
        <v>3272642.1</v>
      </c>
      <c r="N10" s="7">
        <v>10556.91</v>
      </c>
      <c r="O10" s="60">
        <v>310</v>
      </c>
      <c r="P10" s="6" t="s">
        <v>364</v>
      </c>
      <c r="Q10" s="6" t="s">
        <v>363</v>
      </c>
      <c r="R10" s="63" t="s">
        <v>158</v>
      </c>
      <c r="S10" s="61" t="s">
        <v>358</v>
      </c>
    </row>
    <row r="11" spans="2:19" ht="33" customHeight="1">
      <c r="D11" s="57"/>
      <c r="F11" s="57"/>
      <c r="G11" s="269"/>
      <c r="H11" s="269">
        <f t="shared" si="2"/>
        <v>207791.99999999997</v>
      </c>
      <c r="I11" s="269">
        <f t="shared" si="0"/>
        <v>299286</v>
      </c>
      <c r="J11" s="270">
        <v>1151.0999999999999</v>
      </c>
      <c r="K11" s="7"/>
      <c r="L11" s="7"/>
      <c r="M11" s="269">
        <f t="shared" si="1"/>
        <v>91494</v>
      </c>
      <c r="N11" s="7">
        <v>351.9</v>
      </c>
      <c r="O11" s="60">
        <v>260</v>
      </c>
      <c r="P11" s="6" t="s">
        <v>364</v>
      </c>
      <c r="Q11" s="6" t="s">
        <v>473</v>
      </c>
      <c r="R11" s="63" t="s">
        <v>158</v>
      </c>
      <c r="S11" s="61" t="s">
        <v>472</v>
      </c>
    </row>
    <row r="12" spans="2:19" ht="49.5" customHeight="1" thickBot="1">
      <c r="D12" s="116"/>
      <c r="F12" s="116"/>
      <c r="G12" s="337">
        <f>SUM(G6:G11)</f>
        <v>0</v>
      </c>
      <c r="H12" s="337">
        <f>SUM(H6:H11)</f>
        <v>33192120.549999997</v>
      </c>
      <c r="I12" s="402">
        <f>SUM(I6:I11)</f>
        <v>53284523.5</v>
      </c>
      <c r="J12" s="402"/>
      <c r="K12" s="400" t="e">
        <f>SUM(#REF!)</f>
        <v>#REF!</v>
      </c>
      <c r="L12" s="400"/>
      <c r="M12" s="400">
        <f>SUM(M6:M11)</f>
        <v>20092402.949999999</v>
      </c>
      <c r="N12" s="400"/>
      <c r="O12" s="39"/>
      <c r="P12" s="115"/>
      <c r="Q12" s="115" t="s">
        <v>14</v>
      </c>
      <c r="R12" s="8"/>
      <c r="S12" s="206"/>
    </row>
    <row r="13" spans="2:19" ht="49.5" customHeight="1">
      <c r="D13" s="13"/>
      <c r="F13" s="13"/>
      <c r="G13" s="99"/>
      <c r="H13" s="37"/>
      <c r="I13" s="50"/>
      <c r="J13" s="50"/>
      <c r="K13" s="37"/>
      <c r="L13" s="37"/>
      <c r="M13" s="99"/>
      <c r="N13" s="37"/>
      <c r="O13" s="24"/>
      <c r="P13" s="9"/>
      <c r="Q13" s="9"/>
      <c r="R13" s="9"/>
      <c r="S13" s="208"/>
    </row>
    <row r="14" spans="2:19" ht="23.25" hidden="1" customHeight="1">
      <c r="D14" s="77"/>
      <c r="F14" s="173"/>
      <c r="G14" s="382" t="s">
        <v>300</v>
      </c>
      <c r="H14" s="382"/>
      <c r="I14" s="382" t="s">
        <v>145</v>
      </c>
      <c r="J14" s="382"/>
      <c r="K14" s="78"/>
      <c r="L14" s="78"/>
      <c r="M14" s="199"/>
      <c r="N14" s="78"/>
      <c r="O14" s="79"/>
      <c r="P14" s="78"/>
      <c r="Q14" s="80" t="s">
        <v>171</v>
      </c>
      <c r="R14" s="41"/>
      <c r="S14" s="219"/>
    </row>
    <row r="15" spans="2:19" ht="23.25" hidden="1" customHeight="1">
      <c r="D15" s="81"/>
      <c r="F15" s="174"/>
      <c r="G15" s="96"/>
      <c r="H15" s="82"/>
      <c r="I15" s="83"/>
      <c r="J15" s="143" t="s">
        <v>146</v>
      </c>
      <c r="K15" s="144"/>
      <c r="L15" s="144"/>
      <c r="M15" s="200"/>
      <c r="N15" s="144"/>
      <c r="O15" s="135"/>
      <c r="P15" s="144"/>
      <c r="Q15" s="84" t="s">
        <v>292</v>
      </c>
      <c r="R15" s="56"/>
      <c r="S15" s="175"/>
    </row>
    <row r="16" spans="2:19" ht="23.25" hidden="1" customHeight="1" thickBot="1">
      <c r="D16" s="85"/>
      <c r="F16" s="85"/>
      <c r="G16" s="145"/>
      <c r="H16" s="136"/>
      <c r="I16" s="146"/>
      <c r="J16" s="146"/>
      <c r="K16" s="136"/>
      <c r="L16" s="136"/>
      <c r="M16" s="145" t="s">
        <v>183</v>
      </c>
      <c r="N16" s="136"/>
      <c r="O16" s="136"/>
      <c r="P16" s="136"/>
      <c r="Q16" s="86" t="s">
        <v>184</v>
      </c>
      <c r="R16" s="42"/>
      <c r="S16" s="205"/>
    </row>
    <row r="17" spans="2:20" ht="25.5" hidden="1" customHeight="1">
      <c r="D17" s="385" t="s">
        <v>144</v>
      </c>
      <c r="F17" s="385" t="s">
        <v>144</v>
      </c>
      <c r="G17" s="406" t="s">
        <v>63</v>
      </c>
      <c r="H17" s="406"/>
      <c r="I17" s="409" t="s">
        <v>170</v>
      </c>
      <c r="J17" s="409"/>
      <c r="K17" s="401" t="s">
        <v>2</v>
      </c>
      <c r="L17" s="401"/>
      <c r="M17" s="401" t="s">
        <v>220</v>
      </c>
      <c r="N17" s="401"/>
      <c r="O17" s="426" t="s">
        <v>139</v>
      </c>
      <c r="P17" s="401" t="s">
        <v>1</v>
      </c>
      <c r="Q17" s="401" t="s">
        <v>138</v>
      </c>
      <c r="R17" s="62"/>
      <c r="S17" s="424" t="s">
        <v>0</v>
      </c>
    </row>
    <row r="18" spans="2:20" ht="25.5" hidden="1" customHeight="1">
      <c r="D18" s="386"/>
      <c r="F18" s="386"/>
      <c r="G18" s="97" t="s">
        <v>143</v>
      </c>
      <c r="H18" s="49" t="s">
        <v>142</v>
      </c>
      <c r="I18" s="49" t="s">
        <v>143</v>
      </c>
      <c r="J18" s="49" t="s">
        <v>142</v>
      </c>
      <c r="K18" s="1" t="s">
        <v>4</v>
      </c>
      <c r="L18" s="1" t="s">
        <v>3</v>
      </c>
      <c r="M18" s="100" t="s">
        <v>141</v>
      </c>
      <c r="N18" s="1" t="s">
        <v>140</v>
      </c>
      <c r="O18" s="427"/>
      <c r="P18" s="422"/>
      <c r="Q18" s="422"/>
      <c r="R18" s="2"/>
      <c r="S18" s="425"/>
    </row>
    <row r="19" spans="2:20" ht="30.75" hidden="1" customHeight="1">
      <c r="D19" s="111">
        <v>10848.34</v>
      </c>
      <c r="E19" s="109"/>
      <c r="F19" s="111"/>
      <c r="G19" s="100">
        <f t="shared" ref="G19:G34" si="3">H19*O19</f>
        <v>29289600</v>
      </c>
      <c r="H19" s="1">
        <v>10848</v>
      </c>
      <c r="I19" s="40">
        <f>J19*O19</f>
        <v>-9036900</v>
      </c>
      <c r="J19" s="49">
        <f>H19-N19</f>
        <v>-3347</v>
      </c>
      <c r="K19" s="6"/>
      <c r="L19" s="4"/>
      <c r="M19" s="191">
        <f t="shared" ref="M19:M34" si="4">N19*O19</f>
        <v>38326500</v>
      </c>
      <c r="N19" s="4">
        <v>14195</v>
      </c>
      <c r="O19" s="22">
        <v>2700</v>
      </c>
      <c r="P19" s="6" t="s">
        <v>35</v>
      </c>
      <c r="Q19" s="45" t="s">
        <v>152</v>
      </c>
      <c r="R19" s="63" t="s">
        <v>158</v>
      </c>
      <c r="S19" s="38" t="s">
        <v>71</v>
      </c>
      <c r="T19" s="30"/>
    </row>
    <row r="20" spans="2:20" ht="30.75" hidden="1" customHeight="1">
      <c r="D20" s="110">
        <v>1205.3599999999999</v>
      </c>
      <c r="E20" s="109"/>
      <c r="F20" s="110"/>
      <c r="G20" s="100">
        <f t="shared" si="3"/>
        <v>18195500</v>
      </c>
      <c r="H20" s="1">
        <v>1205</v>
      </c>
      <c r="I20" s="40">
        <f t="shared" ref="I20:I34" si="5">J20*O20</f>
        <v>18195500</v>
      </c>
      <c r="J20" s="49">
        <f t="shared" ref="J20:J33" si="6">H20-N20</f>
        <v>1205</v>
      </c>
      <c r="K20" s="6"/>
      <c r="L20" s="4"/>
      <c r="M20" s="191">
        <f t="shared" si="4"/>
        <v>0</v>
      </c>
      <c r="N20" s="4"/>
      <c r="O20" s="22">
        <v>15100</v>
      </c>
      <c r="P20" s="6" t="s">
        <v>35</v>
      </c>
      <c r="Q20" s="45" t="s">
        <v>73</v>
      </c>
      <c r="R20" s="63" t="s">
        <v>158</v>
      </c>
      <c r="S20" s="38" t="s">
        <v>72</v>
      </c>
      <c r="T20" s="30"/>
    </row>
    <row r="21" spans="2:20" ht="30.75" hidden="1" customHeight="1">
      <c r="B21" s="259">
        <v>1500</v>
      </c>
      <c r="D21" s="110">
        <v>1250</v>
      </c>
      <c r="E21" s="109"/>
      <c r="F21" s="110"/>
      <c r="G21" s="100">
        <f t="shared" si="3"/>
        <v>42900000</v>
      </c>
      <c r="H21" s="1">
        <f>1250+1500</f>
        <v>2750</v>
      </c>
      <c r="I21" s="40">
        <f t="shared" si="5"/>
        <v>42900000</v>
      </c>
      <c r="J21" s="49">
        <f t="shared" si="6"/>
        <v>2750</v>
      </c>
      <c r="K21" s="6"/>
      <c r="L21" s="4"/>
      <c r="M21" s="191">
        <f t="shared" si="4"/>
        <v>0</v>
      </c>
      <c r="N21" s="4"/>
      <c r="O21" s="22">
        <v>15600</v>
      </c>
      <c r="P21" s="6" t="s">
        <v>35</v>
      </c>
      <c r="Q21" s="45" t="s">
        <v>246</v>
      </c>
      <c r="R21" s="63" t="s">
        <v>158</v>
      </c>
      <c r="S21" s="38" t="s">
        <v>245</v>
      </c>
      <c r="T21" s="30"/>
    </row>
    <row r="22" spans="2:20" ht="30.75" hidden="1" customHeight="1">
      <c r="B22" s="259" t="s">
        <v>265</v>
      </c>
      <c r="C22" s="3" t="s">
        <v>281</v>
      </c>
      <c r="D22" s="110">
        <v>942</v>
      </c>
      <c r="E22" s="109"/>
      <c r="F22" s="110"/>
      <c r="G22" s="100">
        <f t="shared" si="3"/>
        <v>10413420</v>
      </c>
      <c r="H22" s="1">
        <f>942+1000*0.4+420</f>
        <v>1762</v>
      </c>
      <c r="I22" s="40">
        <f t="shared" si="5"/>
        <v>2139420</v>
      </c>
      <c r="J22" s="49">
        <f t="shared" si="6"/>
        <v>362</v>
      </c>
      <c r="K22" s="6"/>
      <c r="L22" s="4"/>
      <c r="M22" s="191">
        <f t="shared" si="4"/>
        <v>8274000</v>
      </c>
      <c r="N22" s="4">
        <v>1400</v>
      </c>
      <c r="O22" s="22">
        <v>5910</v>
      </c>
      <c r="P22" s="6" t="s">
        <v>35</v>
      </c>
      <c r="Q22" s="45" t="s">
        <v>75</v>
      </c>
      <c r="R22" s="63" t="s">
        <v>158</v>
      </c>
      <c r="S22" s="38" t="s">
        <v>74</v>
      </c>
      <c r="T22" s="30"/>
    </row>
    <row r="23" spans="2:20" ht="30.75" hidden="1" customHeight="1">
      <c r="B23" s="259" t="s">
        <v>266</v>
      </c>
      <c r="D23" s="110">
        <v>1152.5999999999999</v>
      </c>
      <c r="E23" s="109"/>
      <c r="F23" s="110"/>
      <c r="G23" s="100">
        <f t="shared" si="3"/>
        <v>40759200</v>
      </c>
      <c r="H23" s="1">
        <f>1152+2520</f>
        <v>3672</v>
      </c>
      <c r="I23" s="40">
        <f t="shared" si="5"/>
        <v>40759200</v>
      </c>
      <c r="J23" s="49">
        <f t="shared" si="6"/>
        <v>3672</v>
      </c>
      <c r="K23" s="6"/>
      <c r="L23" s="4"/>
      <c r="M23" s="191"/>
      <c r="N23" s="4"/>
      <c r="O23" s="22">
        <v>11100</v>
      </c>
      <c r="P23" s="6" t="s">
        <v>35</v>
      </c>
      <c r="Q23" s="45" t="s">
        <v>248</v>
      </c>
      <c r="R23" s="63" t="s">
        <v>158</v>
      </c>
      <c r="S23" s="38" t="s">
        <v>247</v>
      </c>
      <c r="T23" s="30"/>
    </row>
    <row r="24" spans="2:20" ht="30.75" hidden="1" customHeight="1">
      <c r="C24" s="3" t="s">
        <v>282</v>
      </c>
      <c r="D24" s="110">
        <v>1017.33</v>
      </c>
      <c r="E24" s="109"/>
      <c r="F24" s="110"/>
      <c r="G24" s="100">
        <f t="shared" si="3"/>
        <v>97239700</v>
      </c>
      <c r="H24" s="1">
        <f>1017+1000*0.5</f>
        <v>1517</v>
      </c>
      <c r="I24" s="40">
        <f t="shared" si="5"/>
        <v>-5320300</v>
      </c>
      <c r="J24" s="49">
        <f t="shared" si="6"/>
        <v>-83</v>
      </c>
      <c r="K24" s="6"/>
      <c r="L24" s="4"/>
      <c r="M24" s="191">
        <f t="shared" si="4"/>
        <v>102560000</v>
      </c>
      <c r="N24" s="4">
        <v>1600</v>
      </c>
      <c r="O24" s="22">
        <v>64100</v>
      </c>
      <c r="P24" s="6" t="s">
        <v>35</v>
      </c>
      <c r="Q24" s="45" t="s">
        <v>77</v>
      </c>
      <c r="R24" s="63" t="s">
        <v>158</v>
      </c>
      <c r="S24" s="38" t="s">
        <v>76</v>
      </c>
      <c r="T24" s="30"/>
    </row>
    <row r="25" spans="2:20" ht="30.75" hidden="1" customHeight="1">
      <c r="B25" s="259">
        <v>800</v>
      </c>
      <c r="D25" s="110"/>
      <c r="E25" s="109"/>
      <c r="F25" s="110"/>
      <c r="G25" s="100">
        <f t="shared" si="3"/>
        <v>740000</v>
      </c>
      <c r="H25" s="1">
        <v>800</v>
      </c>
      <c r="I25" s="40">
        <f t="shared" si="5"/>
        <v>740000</v>
      </c>
      <c r="J25" s="49">
        <f t="shared" si="6"/>
        <v>800</v>
      </c>
      <c r="K25" s="6"/>
      <c r="L25" s="4"/>
      <c r="M25" s="191">
        <f t="shared" si="4"/>
        <v>0</v>
      </c>
      <c r="N25" s="4"/>
      <c r="O25" s="22">
        <v>925</v>
      </c>
      <c r="P25" s="6" t="s">
        <v>35</v>
      </c>
      <c r="Q25" s="45" t="s">
        <v>80</v>
      </c>
      <c r="R25" s="63" t="s">
        <v>158</v>
      </c>
      <c r="S25" s="38" t="s">
        <v>78</v>
      </c>
      <c r="T25" s="30"/>
    </row>
    <row r="26" spans="2:20" ht="30.75" hidden="1" customHeight="1">
      <c r="D26" s="110"/>
      <c r="E26" s="109"/>
      <c r="F26" s="110"/>
      <c r="G26" s="100">
        <f t="shared" si="3"/>
        <v>2280000</v>
      </c>
      <c r="H26" s="1">
        <v>300</v>
      </c>
      <c r="I26" s="40">
        <f t="shared" si="5"/>
        <v>2280000</v>
      </c>
      <c r="J26" s="49">
        <f t="shared" si="6"/>
        <v>300</v>
      </c>
      <c r="K26" s="6"/>
      <c r="L26" s="4"/>
      <c r="M26" s="191">
        <f t="shared" si="4"/>
        <v>0</v>
      </c>
      <c r="N26" s="4"/>
      <c r="O26" s="22">
        <v>7600</v>
      </c>
      <c r="P26" s="6" t="s">
        <v>35</v>
      </c>
      <c r="Q26" s="45" t="s">
        <v>81</v>
      </c>
      <c r="R26" s="63" t="s">
        <v>158</v>
      </c>
      <c r="S26" s="38" t="s">
        <v>79</v>
      </c>
      <c r="T26" s="30"/>
    </row>
    <row r="27" spans="2:20" ht="30.75" hidden="1" customHeight="1">
      <c r="B27" s="259">
        <v>4200</v>
      </c>
      <c r="C27" s="3">
        <v>1000</v>
      </c>
      <c r="D27" s="110">
        <v>16823.82</v>
      </c>
      <c r="E27" s="109"/>
      <c r="F27" s="110"/>
      <c r="G27" s="100">
        <f t="shared" si="3"/>
        <v>66509460</v>
      </c>
      <c r="H27" s="203">
        <f>16823+1000+4200</f>
        <v>22023</v>
      </c>
      <c r="I27" s="40">
        <f t="shared" si="5"/>
        <v>57449460</v>
      </c>
      <c r="J27" s="49">
        <f t="shared" si="6"/>
        <v>19023</v>
      </c>
      <c r="K27" s="6"/>
      <c r="L27" s="4"/>
      <c r="M27" s="191">
        <f t="shared" si="4"/>
        <v>9060000</v>
      </c>
      <c r="N27" s="4">
        <v>3000</v>
      </c>
      <c r="O27" s="22">
        <v>3020</v>
      </c>
      <c r="P27" s="6" t="s">
        <v>35</v>
      </c>
      <c r="Q27" s="46" t="s">
        <v>41</v>
      </c>
      <c r="R27" s="63" t="s">
        <v>158</v>
      </c>
      <c r="S27" s="31" t="s">
        <v>37</v>
      </c>
      <c r="T27" s="29"/>
    </row>
    <row r="28" spans="2:20" ht="30.75" hidden="1" customHeight="1">
      <c r="B28" s="259" t="s">
        <v>267</v>
      </c>
      <c r="C28" s="3" t="s">
        <v>283</v>
      </c>
      <c r="D28" s="110">
        <v>67702.559999999998</v>
      </c>
      <c r="E28" s="109"/>
      <c r="F28" s="110"/>
      <c r="G28" s="100">
        <f t="shared" si="3"/>
        <v>23453030</v>
      </c>
      <c r="H28" s="1">
        <f>67702+4*1000+4200*4</f>
        <v>88502</v>
      </c>
      <c r="I28" s="40">
        <f t="shared" si="5"/>
        <v>20273030</v>
      </c>
      <c r="J28" s="49">
        <f t="shared" si="6"/>
        <v>76502</v>
      </c>
      <c r="K28" s="6"/>
      <c r="L28" s="4"/>
      <c r="M28" s="191">
        <f t="shared" si="4"/>
        <v>3180000</v>
      </c>
      <c r="N28" s="4">
        <v>12000</v>
      </c>
      <c r="O28" s="22">
        <v>265</v>
      </c>
      <c r="P28" s="6" t="s">
        <v>35</v>
      </c>
      <c r="Q28" s="46" t="s">
        <v>42</v>
      </c>
      <c r="R28" s="63" t="s">
        <v>158</v>
      </c>
      <c r="S28" s="31" t="s">
        <v>38</v>
      </c>
      <c r="T28" s="29"/>
    </row>
    <row r="29" spans="2:20" ht="30.75" hidden="1" customHeight="1">
      <c r="B29" s="259" t="s">
        <v>268</v>
      </c>
      <c r="C29" s="3" t="s">
        <v>284</v>
      </c>
      <c r="D29" s="110">
        <v>161360.4</v>
      </c>
      <c r="E29" s="109"/>
      <c r="F29" s="110"/>
      <c r="G29" s="100">
        <f t="shared" si="3"/>
        <v>183612800</v>
      </c>
      <c r="H29" s="1">
        <f>161360+5*1000+4200*5</f>
        <v>187360</v>
      </c>
      <c r="I29" s="40">
        <f t="shared" si="5"/>
        <v>4466840</v>
      </c>
      <c r="J29" s="49">
        <f t="shared" si="6"/>
        <v>4558</v>
      </c>
      <c r="K29" s="6"/>
      <c r="L29" s="4"/>
      <c r="M29" s="191">
        <f t="shared" si="4"/>
        <v>179145960</v>
      </c>
      <c r="N29" s="4">
        <v>182802</v>
      </c>
      <c r="O29" s="22">
        <v>980</v>
      </c>
      <c r="P29" s="6" t="s">
        <v>44</v>
      </c>
      <c r="Q29" s="46" t="s">
        <v>222</v>
      </c>
      <c r="R29" s="63" t="s">
        <v>158</v>
      </c>
      <c r="S29" s="31" t="s">
        <v>39</v>
      </c>
      <c r="T29" s="29"/>
    </row>
    <row r="30" spans="2:20" ht="30.75" hidden="1" customHeight="1">
      <c r="D30" s="110">
        <v>103500</v>
      </c>
      <c r="E30" s="109"/>
      <c r="F30" s="110"/>
      <c r="G30" s="100">
        <f t="shared" si="3"/>
        <v>92632500</v>
      </c>
      <c r="H30" s="1">
        <v>103500</v>
      </c>
      <c r="I30" s="40">
        <f t="shared" si="5"/>
        <v>-10292500</v>
      </c>
      <c r="J30" s="49">
        <f t="shared" si="6"/>
        <v>-11500</v>
      </c>
      <c r="K30" s="6"/>
      <c r="L30" s="4"/>
      <c r="M30" s="191">
        <f t="shared" si="4"/>
        <v>102925000</v>
      </c>
      <c r="N30" s="4">
        <v>115000</v>
      </c>
      <c r="O30" s="22">
        <v>895</v>
      </c>
      <c r="P30" s="6" t="s">
        <v>44</v>
      </c>
      <c r="Q30" s="46" t="s">
        <v>223</v>
      </c>
      <c r="R30" s="63" t="s">
        <v>158</v>
      </c>
      <c r="S30" s="31" t="s">
        <v>221</v>
      </c>
      <c r="T30" s="29"/>
    </row>
    <row r="31" spans="2:20" ht="30.75" hidden="1" customHeight="1">
      <c r="B31" s="259" t="s">
        <v>269</v>
      </c>
      <c r="C31" s="3" t="s">
        <v>285</v>
      </c>
      <c r="D31" s="110">
        <v>8037.38</v>
      </c>
      <c r="E31" s="109"/>
      <c r="F31" s="110"/>
      <c r="G31" s="100">
        <f t="shared" si="3"/>
        <v>14662800</v>
      </c>
      <c r="H31" s="1">
        <f>8037+780*0.5*5+2232</f>
        <v>12219</v>
      </c>
      <c r="I31" s="40">
        <f t="shared" si="5"/>
        <v>14662800</v>
      </c>
      <c r="J31" s="49">
        <f t="shared" si="6"/>
        <v>12219</v>
      </c>
      <c r="K31" s="6"/>
      <c r="L31" s="4"/>
      <c r="M31" s="191">
        <f t="shared" si="4"/>
        <v>0</v>
      </c>
      <c r="N31" s="4"/>
      <c r="O31" s="105">
        <v>1200</v>
      </c>
      <c r="P31" s="10" t="s">
        <v>44</v>
      </c>
      <c r="Q31" s="47" t="s">
        <v>43</v>
      </c>
      <c r="R31" s="63" t="s">
        <v>158</v>
      </c>
      <c r="S31" s="31" t="s">
        <v>40</v>
      </c>
      <c r="T31" s="29"/>
    </row>
    <row r="32" spans="2:20" ht="30.75" hidden="1" customHeight="1">
      <c r="D32" s="110">
        <v>23833.7</v>
      </c>
      <c r="E32" s="109"/>
      <c r="F32" s="110"/>
      <c r="G32" s="100">
        <f t="shared" si="3"/>
        <v>412300000</v>
      </c>
      <c r="H32" s="1">
        <f>H34+H132</f>
        <v>11780</v>
      </c>
      <c r="I32" s="40">
        <f t="shared" si="5"/>
        <v>-791420000</v>
      </c>
      <c r="J32" s="49">
        <f t="shared" si="6"/>
        <v>-22612</v>
      </c>
      <c r="K32" s="6"/>
      <c r="L32" s="4"/>
      <c r="M32" s="192">
        <f t="shared" si="4"/>
        <v>1203720000</v>
      </c>
      <c r="N32" s="4">
        <v>34392</v>
      </c>
      <c r="O32" s="105">
        <v>35000</v>
      </c>
      <c r="P32" s="6" t="s">
        <v>35</v>
      </c>
      <c r="Q32" s="48" t="s">
        <v>225</v>
      </c>
      <c r="R32" s="63" t="s">
        <v>158</v>
      </c>
      <c r="S32" s="31" t="s">
        <v>224</v>
      </c>
      <c r="T32" s="29"/>
    </row>
    <row r="33" spans="2:20" ht="30.75" hidden="1" customHeight="1">
      <c r="D33" s="112"/>
      <c r="E33" s="109"/>
      <c r="F33" s="112"/>
      <c r="G33" s="100">
        <f t="shared" si="3"/>
        <v>2060000</v>
      </c>
      <c r="H33" s="1">
        <v>4000</v>
      </c>
      <c r="I33" s="40">
        <f t="shared" si="5"/>
        <v>2060000</v>
      </c>
      <c r="J33" s="49">
        <f t="shared" si="6"/>
        <v>4000</v>
      </c>
      <c r="K33" s="6"/>
      <c r="L33" s="4"/>
      <c r="M33" s="191">
        <f t="shared" si="4"/>
        <v>0</v>
      </c>
      <c r="N33" s="4"/>
      <c r="O33" s="105">
        <v>515</v>
      </c>
      <c r="P33" s="6" t="s">
        <v>35</v>
      </c>
      <c r="Q33" s="48" t="s">
        <v>154</v>
      </c>
      <c r="R33" s="63" t="s">
        <v>158</v>
      </c>
      <c r="S33" s="31" t="s">
        <v>153</v>
      </c>
      <c r="T33" s="29"/>
    </row>
    <row r="34" spans="2:20" ht="30.75" hidden="1" customHeight="1">
      <c r="D34" s="122">
        <v>4500</v>
      </c>
      <c r="E34" s="109"/>
      <c r="F34" s="122"/>
      <c r="G34" s="100">
        <f t="shared" si="3"/>
        <v>306000000</v>
      </c>
      <c r="H34" s="224">
        <v>4500</v>
      </c>
      <c r="I34" s="40">
        <f t="shared" si="5"/>
        <v>-34000000</v>
      </c>
      <c r="J34" s="49">
        <f>H34-N34</f>
        <v>-500</v>
      </c>
      <c r="K34" s="7"/>
      <c r="L34" s="59"/>
      <c r="M34" s="191">
        <f t="shared" si="4"/>
        <v>340000000</v>
      </c>
      <c r="N34" s="59">
        <v>5000</v>
      </c>
      <c r="O34" s="225">
        <v>68000</v>
      </c>
      <c r="P34" s="6" t="s">
        <v>35</v>
      </c>
      <c r="Q34" s="226" t="s">
        <v>227</v>
      </c>
      <c r="R34" s="63" t="s">
        <v>158</v>
      </c>
      <c r="S34" s="227" t="s">
        <v>226</v>
      </c>
      <c r="T34" s="29"/>
    </row>
    <row r="35" spans="2:20" ht="34.5" hidden="1" customHeight="1" thickBot="1">
      <c r="D35" s="118"/>
      <c r="E35" s="109"/>
      <c r="F35" s="118"/>
      <c r="G35" s="397">
        <f>SUM(G19:G34)</f>
        <v>1343048010</v>
      </c>
      <c r="H35" s="398"/>
      <c r="I35" s="402">
        <f>SUM(I19:I34)</f>
        <v>-644143450</v>
      </c>
      <c r="J35" s="402"/>
      <c r="K35" s="400">
        <f>SUM(K19:K33)</f>
        <v>0</v>
      </c>
      <c r="L35" s="400"/>
      <c r="M35" s="400">
        <f>SUM(M19:M34)</f>
        <v>1987191460</v>
      </c>
      <c r="N35" s="400"/>
      <c r="O35" s="119"/>
      <c r="P35" s="117"/>
      <c r="Q35" s="114" t="s">
        <v>5</v>
      </c>
      <c r="R35" s="8" t="s">
        <v>158</v>
      </c>
      <c r="S35" s="209"/>
      <c r="T35" s="29"/>
    </row>
    <row r="36" spans="2:20" ht="49.5" hidden="1" customHeight="1" thickBot="1">
      <c r="D36" s="13"/>
      <c r="F36" s="13"/>
      <c r="G36" s="101"/>
      <c r="H36" s="44"/>
      <c r="I36" s="51"/>
      <c r="J36" s="51"/>
      <c r="K36" s="44"/>
      <c r="L36" s="44"/>
      <c r="M36" s="101"/>
      <c r="N36" s="44"/>
      <c r="O36" s="106"/>
      <c r="P36" s="44"/>
      <c r="Q36" s="19"/>
      <c r="R36" s="70"/>
      <c r="S36" s="210"/>
      <c r="T36" s="29"/>
    </row>
    <row r="37" spans="2:20" ht="23.25" hidden="1" customHeight="1">
      <c r="D37" s="173"/>
      <c r="F37" s="173"/>
      <c r="G37" s="382" t="s">
        <v>300</v>
      </c>
      <c r="H37" s="382"/>
      <c r="I37" s="382" t="s">
        <v>145</v>
      </c>
      <c r="J37" s="382"/>
      <c r="K37" s="78"/>
      <c r="L37" s="78"/>
      <c r="M37" s="199"/>
      <c r="N37" s="78"/>
      <c r="O37" s="79"/>
      <c r="P37" s="78"/>
      <c r="Q37" s="80" t="s">
        <v>171</v>
      </c>
      <c r="R37" s="41"/>
      <c r="S37" s="219"/>
    </row>
    <row r="38" spans="2:20" ht="23.25" hidden="1" customHeight="1">
      <c r="D38" s="174"/>
      <c r="F38" s="174"/>
      <c r="G38" s="96"/>
      <c r="H38" s="82"/>
      <c r="I38" s="83"/>
      <c r="J38" s="143" t="s">
        <v>146</v>
      </c>
      <c r="K38" s="144"/>
      <c r="L38" s="144"/>
      <c r="M38" s="200"/>
      <c r="N38" s="144"/>
      <c r="O38" s="135"/>
      <c r="P38" s="144"/>
      <c r="Q38" s="84" t="s">
        <v>292</v>
      </c>
      <c r="R38" s="56"/>
      <c r="S38" s="175"/>
    </row>
    <row r="39" spans="2:20" ht="25.5" hidden="1" customHeight="1" thickBot="1">
      <c r="D39" s="176"/>
      <c r="F39" s="176"/>
      <c r="G39" s="145"/>
      <c r="H39" s="136"/>
      <c r="I39" s="146"/>
      <c r="J39" s="146"/>
      <c r="K39" s="136"/>
      <c r="L39" s="136"/>
      <c r="M39" s="145" t="s">
        <v>183</v>
      </c>
      <c r="N39" s="136"/>
      <c r="O39" s="136"/>
      <c r="P39" s="136"/>
      <c r="Q39" s="86" t="s">
        <v>185</v>
      </c>
      <c r="R39" s="42"/>
      <c r="S39" s="220"/>
    </row>
    <row r="40" spans="2:20" ht="25.5" hidden="1" customHeight="1">
      <c r="C40" s="3" t="s">
        <v>288</v>
      </c>
      <c r="D40" s="249">
        <v>462.4</v>
      </c>
      <c r="F40" s="249"/>
      <c r="G40" s="250">
        <f>H40*O40</f>
        <v>44737000</v>
      </c>
      <c r="H40" s="251">
        <f>462+100*7</f>
        <v>1162</v>
      </c>
      <c r="I40" s="40">
        <f>J40*O40</f>
        <v>42427000</v>
      </c>
      <c r="J40" s="268">
        <f>H40-N40</f>
        <v>1102</v>
      </c>
      <c r="K40" s="251"/>
      <c r="L40" s="251"/>
      <c r="M40" s="252">
        <f>N40*O40</f>
        <v>2310000</v>
      </c>
      <c r="N40" s="253">
        <v>60</v>
      </c>
      <c r="O40" s="254">
        <v>38500</v>
      </c>
      <c r="P40" s="255" t="s">
        <v>187</v>
      </c>
      <c r="Q40" s="256" t="s">
        <v>229</v>
      </c>
      <c r="R40" s="257"/>
      <c r="S40" s="258" t="s">
        <v>228</v>
      </c>
    </row>
    <row r="41" spans="2:20" ht="30.75" hidden="1" customHeight="1">
      <c r="B41" s="259">
        <v>1099</v>
      </c>
      <c r="D41" s="228">
        <v>900</v>
      </c>
      <c r="E41" s="109"/>
      <c r="F41" s="228"/>
      <c r="G41" s="100">
        <f t="shared" ref="G41:G54" si="7">H41*O41</f>
        <v>184307800</v>
      </c>
      <c r="H41" s="1">
        <f>900+1099</f>
        <v>1999</v>
      </c>
      <c r="I41" s="40">
        <f t="shared" ref="I41:I54" si="8">J41*O41</f>
        <v>168910400</v>
      </c>
      <c r="J41" s="49">
        <f t="shared" ref="J41:J54" si="9">H41-N41</f>
        <v>1832</v>
      </c>
      <c r="K41" s="1"/>
      <c r="L41" s="1"/>
      <c r="M41" s="242">
        <f t="shared" ref="M41:M54" si="10">N41*O41</f>
        <v>15397400</v>
      </c>
      <c r="N41" s="231">
        <v>167</v>
      </c>
      <c r="O41" s="232">
        <v>92200</v>
      </c>
      <c r="P41" s="229" t="s">
        <v>187</v>
      </c>
      <c r="Q41" s="230" t="s">
        <v>186</v>
      </c>
      <c r="R41" s="63"/>
      <c r="S41" s="34" t="s">
        <v>230</v>
      </c>
    </row>
    <row r="42" spans="2:20" ht="30.75" hidden="1" customHeight="1">
      <c r="D42" s="111"/>
      <c r="E42" s="109"/>
      <c r="F42" s="111"/>
      <c r="G42" s="100">
        <f t="shared" si="7"/>
        <v>0</v>
      </c>
      <c r="H42" s="1"/>
      <c r="I42" s="40">
        <f t="shared" si="8"/>
        <v>0</v>
      </c>
      <c r="J42" s="49">
        <f t="shared" si="9"/>
        <v>0</v>
      </c>
      <c r="K42" s="4"/>
      <c r="L42" s="4"/>
      <c r="M42" s="242">
        <f t="shared" si="10"/>
        <v>0</v>
      </c>
      <c r="N42" s="231"/>
      <c r="O42" s="233">
        <v>104000</v>
      </c>
      <c r="P42" s="152" t="s">
        <v>187</v>
      </c>
      <c r="Q42" s="123" t="s">
        <v>188</v>
      </c>
      <c r="R42" s="63" t="s">
        <v>158</v>
      </c>
      <c r="S42" s="38" t="s">
        <v>83</v>
      </c>
    </row>
    <row r="43" spans="2:20" ht="30.75" hidden="1" customHeight="1">
      <c r="D43" s="111"/>
      <c r="E43" s="109"/>
      <c r="F43" s="111"/>
      <c r="G43" s="100">
        <f t="shared" si="7"/>
        <v>0</v>
      </c>
      <c r="H43" s="1"/>
      <c r="I43" s="40">
        <f t="shared" si="8"/>
        <v>0</v>
      </c>
      <c r="J43" s="49">
        <f t="shared" si="9"/>
        <v>0</v>
      </c>
      <c r="K43" s="4"/>
      <c r="L43" s="4"/>
      <c r="M43" s="242">
        <f t="shared" si="10"/>
        <v>0</v>
      </c>
      <c r="N43" s="231"/>
      <c r="O43" s="234">
        <v>259500</v>
      </c>
      <c r="P43" s="153" t="s">
        <v>187</v>
      </c>
      <c r="Q43" s="124" t="s">
        <v>189</v>
      </c>
      <c r="R43" s="63" t="s">
        <v>158</v>
      </c>
      <c r="S43" s="38" t="s">
        <v>180</v>
      </c>
    </row>
    <row r="44" spans="2:20" ht="30.75" hidden="1" customHeight="1">
      <c r="B44" s="259">
        <v>2000</v>
      </c>
      <c r="D44" s="111">
        <v>1897.39</v>
      </c>
      <c r="E44" s="109"/>
      <c r="F44" s="111"/>
      <c r="G44" s="100">
        <f t="shared" si="7"/>
        <v>1077511000</v>
      </c>
      <c r="H44" s="1">
        <f>1897+2200</f>
        <v>4097</v>
      </c>
      <c r="I44" s="40">
        <f t="shared" si="8"/>
        <v>827398000</v>
      </c>
      <c r="J44" s="49">
        <f t="shared" si="9"/>
        <v>3146</v>
      </c>
      <c r="K44" s="4"/>
      <c r="L44" s="4"/>
      <c r="M44" s="242">
        <f t="shared" si="10"/>
        <v>250113000</v>
      </c>
      <c r="N44" s="231">
        <v>951</v>
      </c>
      <c r="O44" s="235">
        <v>263000</v>
      </c>
      <c r="P44" s="154" t="s">
        <v>187</v>
      </c>
      <c r="Q44" s="125" t="s">
        <v>190</v>
      </c>
      <c r="R44" s="63" t="s">
        <v>158</v>
      </c>
      <c r="S44" s="38" t="s">
        <v>172</v>
      </c>
    </row>
    <row r="45" spans="2:20" ht="30.75" hidden="1" customHeight="1">
      <c r="B45" s="259">
        <v>2000</v>
      </c>
      <c r="D45" s="111">
        <v>1860.03</v>
      </c>
      <c r="E45" s="109"/>
      <c r="F45" s="111"/>
      <c r="G45" s="100">
        <f t="shared" si="7"/>
        <v>220458000</v>
      </c>
      <c r="H45" s="1">
        <f>1860+2200</f>
        <v>4060</v>
      </c>
      <c r="I45" s="40">
        <f t="shared" si="8"/>
        <v>168818700</v>
      </c>
      <c r="J45" s="49">
        <f t="shared" si="9"/>
        <v>3109</v>
      </c>
      <c r="K45" s="4"/>
      <c r="L45" s="4"/>
      <c r="M45" s="242">
        <f t="shared" si="10"/>
        <v>51639300</v>
      </c>
      <c r="N45" s="231">
        <v>951</v>
      </c>
      <c r="O45" s="236">
        <v>54300</v>
      </c>
      <c r="P45" s="155" t="s">
        <v>187</v>
      </c>
      <c r="Q45" s="126" t="s">
        <v>191</v>
      </c>
      <c r="R45" s="63" t="s">
        <v>158</v>
      </c>
      <c r="S45" s="38" t="s">
        <v>173</v>
      </c>
    </row>
    <row r="46" spans="2:20" ht="30.75" hidden="1" customHeight="1">
      <c r="B46" s="259">
        <v>1400</v>
      </c>
      <c r="D46" s="111">
        <v>1964.98</v>
      </c>
      <c r="E46" s="109"/>
      <c r="F46" s="111"/>
      <c r="G46" s="100">
        <f t="shared" si="7"/>
        <v>225388000</v>
      </c>
      <c r="H46" s="1">
        <f>1964+1400</f>
        <v>3364</v>
      </c>
      <c r="I46" s="40">
        <f t="shared" si="8"/>
        <v>134469000</v>
      </c>
      <c r="J46" s="49">
        <f t="shared" si="9"/>
        <v>2007</v>
      </c>
      <c r="K46" s="4"/>
      <c r="L46" s="4"/>
      <c r="M46" s="242">
        <f t="shared" si="10"/>
        <v>90919000</v>
      </c>
      <c r="N46" s="231">
        <v>1357</v>
      </c>
      <c r="O46" s="237">
        <v>67000</v>
      </c>
      <c r="P46" s="156" t="s">
        <v>82</v>
      </c>
      <c r="Q46" s="127" t="s">
        <v>215</v>
      </c>
      <c r="R46" s="63" t="s">
        <v>158</v>
      </c>
      <c r="S46" s="38" t="s">
        <v>214</v>
      </c>
    </row>
    <row r="47" spans="2:20" ht="30.75" hidden="1" customHeight="1">
      <c r="D47" s="111"/>
      <c r="E47" s="109"/>
      <c r="F47" s="111"/>
      <c r="G47" s="100">
        <f t="shared" si="7"/>
        <v>0</v>
      </c>
      <c r="H47" s="1"/>
      <c r="I47" s="40">
        <f t="shared" si="8"/>
        <v>0</v>
      </c>
      <c r="J47" s="49">
        <f t="shared" si="9"/>
        <v>0</v>
      </c>
      <c r="K47" s="4"/>
      <c r="L47" s="4"/>
      <c r="M47" s="242">
        <f t="shared" si="10"/>
        <v>0</v>
      </c>
      <c r="N47" s="231"/>
      <c r="O47" s="238">
        <v>24300</v>
      </c>
      <c r="P47" s="157" t="s">
        <v>187</v>
      </c>
      <c r="Q47" s="128" t="s">
        <v>192</v>
      </c>
      <c r="R47" s="63" t="s">
        <v>158</v>
      </c>
      <c r="S47" s="38" t="s">
        <v>174</v>
      </c>
    </row>
    <row r="48" spans="2:20" ht="30.75" hidden="1" customHeight="1">
      <c r="D48" s="111"/>
      <c r="E48" s="109"/>
      <c r="F48" s="111"/>
      <c r="G48" s="100">
        <f t="shared" si="7"/>
        <v>0</v>
      </c>
      <c r="H48" s="1"/>
      <c r="I48" s="40">
        <f t="shared" si="8"/>
        <v>0</v>
      </c>
      <c r="J48" s="49">
        <f t="shared" si="9"/>
        <v>0</v>
      </c>
      <c r="K48" s="4"/>
      <c r="L48" s="4"/>
      <c r="M48" s="242">
        <f t="shared" si="10"/>
        <v>0</v>
      </c>
      <c r="N48" s="231"/>
      <c r="O48" s="238">
        <v>664000</v>
      </c>
      <c r="P48" s="157" t="s">
        <v>187</v>
      </c>
      <c r="Q48" s="128" t="s">
        <v>261</v>
      </c>
      <c r="R48" s="63" t="s">
        <v>158</v>
      </c>
      <c r="S48" s="38" t="s">
        <v>260</v>
      </c>
    </row>
    <row r="49" spans="2:20" ht="30.75" hidden="1" customHeight="1">
      <c r="B49" s="259">
        <v>70</v>
      </c>
      <c r="D49" s="111"/>
      <c r="E49" s="109"/>
      <c r="F49" s="111"/>
      <c r="G49" s="100">
        <f t="shared" si="7"/>
        <v>2394000</v>
      </c>
      <c r="H49" s="1">
        <v>70</v>
      </c>
      <c r="I49" s="40">
        <f t="shared" si="8"/>
        <v>2394000</v>
      </c>
      <c r="J49" s="49">
        <f t="shared" si="9"/>
        <v>70</v>
      </c>
      <c r="K49" s="4"/>
      <c r="L49" s="4"/>
      <c r="M49" s="242">
        <f t="shared" si="10"/>
        <v>0</v>
      </c>
      <c r="N49" s="231"/>
      <c r="O49" s="238">
        <v>34200</v>
      </c>
      <c r="P49" s="157" t="s">
        <v>187</v>
      </c>
      <c r="Q49" s="262" t="s">
        <v>259</v>
      </c>
      <c r="R49" s="63" t="s">
        <v>158</v>
      </c>
      <c r="S49" s="38" t="s">
        <v>258</v>
      </c>
    </row>
    <row r="50" spans="2:20" ht="30.75" hidden="1" customHeight="1">
      <c r="D50" s="111">
        <v>328.27</v>
      </c>
      <c r="E50" s="109"/>
      <c r="F50" s="111"/>
      <c r="G50" s="100">
        <f t="shared" si="7"/>
        <v>9118400</v>
      </c>
      <c r="H50" s="1">
        <f>328</f>
        <v>328</v>
      </c>
      <c r="I50" s="40">
        <f t="shared" si="8"/>
        <v>3558400</v>
      </c>
      <c r="J50" s="49">
        <f t="shared" si="9"/>
        <v>128</v>
      </c>
      <c r="K50" s="4"/>
      <c r="L50" s="4"/>
      <c r="M50" s="242">
        <f t="shared" si="10"/>
        <v>5560000</v>
      </c>
      <c r="N50" s="231">
        <v>200</v>
      </c>
      <c r="O50" s="239">
        <v>27800</v>
      </c>
      <c r="P50" s="157" t="s">
        <v>187</v>
      </c>
      <c r="Q50" s="129" t="s">
        <v>194</v>
      </c>
      <c r="R50" s="63" t="s">
        <v>158</v>
      </c>
      <c r="S50" s="38" t="s">
        <v>175</v>
      </c>
    </row>
    <row r="51" spans="2:20" ht="30.75" hidden="1" customHeight="1">
      <c r="D51" s="111">
        <v>964.17</v>
      </c>
      <c r="E51" s="109"/>
      <c r="F51" s="111"/>
      <c r="G51" s="100">
        <f t="shared" si="7"/>
        <v>29787600</v>
      </c>
      <c r="H51" s="1">
        <v>964</v>
      </c>
      <c r="I51" s="40">
        <f t="shared" si="8"/>
        <v>2163000</v>
      </c>
      <c r="J51" s="49">
        <f t="shared" si="9"/>
        <v>70</v>
      </c>
      <c r="K51" s="4"/>
      <c r="L51" s="4"/>
      <c r="M51" s="242">
        <f t="shared" si="10"/>
        <v>27624600</v>
      </c>
      <c r="N51" s="231">
        <v>894</v>
      </c>
      <c r="O51" s="240">
        <v>30900</v>
      </c>
      <c r="P51" s="158" t="s">
        <v>82</v>
      </c>
      <c r="Q51" s="130" t="s">
        <v>193</v>
      </c>
      <c r="R51" s="63" t="s">
        <v>158</v>
      </c>
      <c r="S51" s="38" t="s">
        <v>176</v>
      </c>
    </row>
    <row r="52" spans="2:20" ht="30.75" hidden="1" customHeight="1">
      <c r="B52" s="259" t="s">
        <v>293</v>
      </c>
      <c r="C52" s="3" t="s">
        <v>289</v>
      </c>
      <c r="D52" s="110">
        <v>27261</v>
      </c>
      <c r="E52" s="109"/>
      <c r="F52" s="110"/>
      <c r="G52" s="100">
        <f t="shared" si="7"/>
        <v>55821780</v>
      </c>
      <c r="H52" s="1">
        <f>27261+700*9+2000*9*1.3</f>
        <v>56961</v>
      </c>
      <c r="I52" s="40">
        <f t="shared" si="8"/>
        <v>44388120</v>
      </c>
      <c r="J52" s="49">
        <f t="shared" si="9"/>
        <v>45294</v>
      </c>
      <c r="K52" s="4"/>
      <c r="L52" s="4"/>
      <c r="M52" s="242">
        <f t="shared" si="10"/>
        <v>11433660</v>
      </c>
      <c r="N52" s="231">
        <v>11667</v>
      </c>
      <c r="O52" s="241">
        <v>980</v>
      </c>
      <c r="P52" s="6" t="s">
        <v>44</v>
      </c>
      <c r="Q52" s="45" t="s">
        <v>84</v>
      </c>
      <c r="R52" s="63" t="s">
        <v>158</v>
      </c>
      <c r="S52" s="38" t="s">
        <v>85</v>
      </c>
    </row>
    <row r="53" spans="2:20" ht="30.75" hidden="1" customHeight="1">
      <c r="B53" s="259" t="s">
        <v>294</v>
      </c>
      <c r="C53" s="3" t="s">
        <v>290</v>
      </c>
      <c r="D53" s="110">
        <v>76580.14</v>
      </c>
      <c r="E53" s="109"/>
      <c r="F53" s="110"/>
      <c r="G53" s="100">
        <f t="shared" si="7"/>
        <v>127609100</v>
      </c>
      <c r="H53" s="1">
        <f>76580+700*20+2000*20*1.3</f>
        <v>142580</v>
      </c>
      <c r="I53" s="40">
        <f t="shared" si="8"/>
        <v>104405330</v>
      </c>
      <c r="J53" s="49">
        <f t="shared" si="9"/>
        <v>116654</v>
      </c>
      <c r="K53" s="4"/>
      <c r="L53" s="4"/>
      <c r="M53" s="242">
        <f t="shared" si="10"/>
        <v>23203770</v>
      </c>
      <c r="N53" s="231">
        <v>25926</v>
      </c>
      <c r="O53" s="241">
        <v>895</v>
      </c>
      <c r="P53" s="6" t="s">
        <v>44</v>
      </c>
      <c r="Q53" s="45" t="s">
        <v>181</v>
      </c>
      <c r="R53" s="63" t="s">
        <v>158</v>
      </c>
      <c r="S53" s="38" t="s">
        <v>128</v>
      </c>
    </row>
    <row r="54" spans="2:20" ht="30.75" hidden="1" customHeight="1">
      <c r="B54" s="259" t="s">
        <v>295</v>
      </c>
      <c r="D54" s="122">
        <v>53865.71</v>
      </c>
      <c r="E54" s="109"/>
      <c r="F54" s="122"/>
      <c r="G54" s="100">
        <f t="shared" si="7"/>
        <v>68257475</v>
      </c>
      <c r="H54" s="58">
        <f>53865+2000*16*1.3</f>
        <v>95465</v>
      </c>
      <c r="I54" s="40">
        <f t="shared" si="8"/>
        <v>54114060</v>
      </c>
      <c r="J54" s="49">
        <f t="shared" si="9"/>
        <v>75684</v>
      </c>
      <c r="K54" s="59"/>
      <c r="L54" s="59"/>
      <c r="M54" s="242">
        <f t="shared" si="10"/>
        <v>14143415</v>
      </c>
      <c r="N54" s="231">
        <v>19781</v>
      </c>
      <c r="O54" s="241">
        <v>715</v>
      </c>
      <c r="P54" s="6" t="s">
        <v>44</v>
      </c>
      <c r="Q54" s="45" t="s">
        <v>157</v>
      </c>
      <c r="R54" s="63" t="s">
        <v>158</v>
      </c>
      <c r="S54" s="61" t="s">
        <v>156</v>
      </c>
    </row>
    <row r="55" spans="2:20" ht="36.75" hidden="1" customHeight="1" thickBot="1">
      <c r="D55" s="131"/>
      <c r="F55" s="131"/>
      <c r="G55" s="397">
        <f>SUM(G40:G54)</f>
        <v>2045390155</v>
      </c>
      <c r="H55" s="398"/>
      <c r="I55" s="399">
        <f>SUM(I40:I54)</f>
        <v>1553046010</v>
      </c>
      <c r="J55" s="399"/>
      <c r="K55" s="411">
        <f>SUM(K42:K53)</f>
        <v>0</v>
      </c>
      <c r="L55" s="411"/>
      <c r="M55" s="411">
        <f>SUM(M40:M54)</f>
        <v>492344145</v>
      </c>
      <c r="N55" s="411"/>
      <c r="O55" s="133"/>
      <c r="P55" s="132"/>
      <c r="Q55" s="134" t="s">
        <v>86</v>
      </c>
      <c r="R55" s="8" t="s">
        <v>158</v>
      </c>
      <c r="S55" s="209"/>
      <c r="T55" s="29"/>
    </row>
    <row r="56" spans="2:20" ht="49.5" hidden="1" customHeight="1" thickBot="1">
      <c r="D56" s="89"/>
      <c r="F56" s="89"/>
      <c r="G56" s="102"/>
      <c r="H56" s="92"/>
      <c r="I56" s="93"/>
      <c r="J56" s="93"/>
      <c r="K56" s="92"/>
      <c r="L56" s="92"/>
      <c r="M56" s="102"/>
      <c r="N56" s="92"/>
      <c r="O56" s="107"/>
      <c r="P56" s="92"/>
      <c r="Q56" s="94"/>
      <c r="R56" s="69"/>
      <c r="S56" s="211"/>
      <c r="T56" s="29"/>
    </row>
    <row r="57" spans="2:20" ht="23.25" hidden="1" customHeight="1">
      <c r="D57" s="77"/>
      <c r="F57" s="173"/>
      <c r="G57" s="382" t="s">
        <v>300</v>
      </c>
      <c r="H57" s="382"/>
      <c r="I57" s="382" t="s">
        <v>145</v>
      </c>
      <c r="J57" s="382"/>
      <c r="K57" s="78"/>
      <c r="L57" s="78"/>
      <c r="M57" s="199"/>
      <c r="N57" s="78"/>
      <c r="O57" s="79"/>
      <c r="P57" s="78"/>
      <c r="Q57" s="80" t="s">
        <v>171</v>
      </c>
      <c r="R57" s="41"/>
      <c r="S57" s="219"/>
    </row>
    <row r="58" spans="2:20" ht="23.25" hidden="1" customHeight="1">
      <c r="D58" s="81"/>
      <c r="F58" s="174"/>
      <c r="G58" s="96"/>
      <c r="H58" s="82"/>
      <c r="I58" s="83"/>
      <c r="J58" s="143" t="s">
        <v>146</v>
      </c>
      <c r="K58" s="144"/>
      <c r="L58" s="144"/>
      <c r="M58" s="200"/>
      <c r="N58" s="144"/>
      <c r="O58" s="135"/>
      <c r="P58" s="144"/>
      <c r="Q58" s="84" t="s">
        <v>292</v>
      </c>
      <c r="R58" s="56"/>
      <c r="S58" s="175"/>
    </row>
    <row r="59" spans="2:20" ht="23.25" hidden="1" customHeight="1" thickBot="1">
      <c r="D59" s="85"/>
      <c r="F59" s="85"/>
      <c r="G59" s="145"/>
      <c r="H59" s="136"/>
      <c r="I59" s="146"/>
      <c r="J59" s="146"/>
      <c r="K59" s="136"/>
      <c r="L59" s="136"/>
      <c r="M59" s="145" t="s">
        <v>183</v>
      </c>
      <c r="N59" s="136"/>
      <c r="O59" s="136"/>
      <c r="P59" s="136"/>
      <c r="Q59" s="86" t="s">
        <v>195</v>
      </c>
      <c r="R59" s="42"/>
      <c r="S59" s="205"/>
    </row>
    <row r="60" spans="2:20" ht="25.5" hidden="1" customHeight="1">
      <c r="D60" s="385" t="s">
        <v>144</v>
      </c>
      <c r="F60" s="385" t="s">
        <v>144</v>
      </c>
      <c r="G60" s="406" t="s">
        <v>63</v>
      </c>
      <c r="H60" s="406"/>
      <c r="I60" s="409" t="s">
        <v>170</v>
      </c>
      <c r="J60" s="409"/>
      <c r="K60" s="401" t="s">
        <v>2</v>
      </c>
      <c r="L60" s="401"/>
      <c r="M60" s="401" t="s">
        <v>169</v>
      </c>
      <c r="N60" s="401"/>
      <c r="O60" s="426" t="s">
        <v>139</v>
      </c>
      <c r="P60" s="401" t="s">
        <v>1</v>
      </c>
      <c r="Q60" s="401" t="s">
        <v>138</v>
      </c>
      <c r="R60" s="62"/>
      <c r="S60" s="424" t="s">
        <v>0</v>
      </c>
    </row>
    <row r="61" spans="2:20" ht="25.5" hidden="1" customHeight="1">
      <c r="D61" s="386"/>
      <c r="F61" s="386"/>
      <c r="G61" s="97" t="s">
        <v>143</v>
      </c>
      <c r="H61" s="49" t="s">
        <v>142</v>
      </c>
      <c r="I61" s="49" t="s">
        <v>143</v>
      </c>
      <c r="J61" s="49" t="s">
        <v>142</v>
      </c>
      <c r="K61" s="1" t="s">
        <v>4</v>
      </c>
      <c r="L61" s="1" t="s">
        <v>3</v>
      </c>
      <c r="M61" s="100" t="s">
        <v>141</v>
      </c>
      <c r="N61" s="1" t="s">
        <v>140</v>
      </c>
      <c r="O61" s="427"/>
      <c r="P61" s="422"/>
      <c r="Q61" s="422"/>
      <c r="R61" s="2"/>
      <c r="S61" s="425"/>
    </row>
    <row r="62" spans="2:20" ht="34.5" hidden="1" customHeight="1">
      <c r="D62" s="35"/>
      <c r="F62" s="35"/>
      <c r="G62" s="100">
        <f>H62*O62</f>
        <v>0</v>
      </c>
      <c r="H62" s="1"/>
      <c r="I62" s="40">
        <f>J62*O62</f>
        <v>0</v>
      </c>
      <c r="J62" s="49">
        <f>H62-N62</f>
        <v>0</v>
      </c>
      <c r="K62" s="6"/>
      <c r="L62" s="4"/>
      <c r="M62" s="191"/>
      <c r="N62" s="4"/>
      <c r="O62" s="147">
        <v>25900</v>
      </c>
      <c r="P62" s="159" t="s">
        <v>82</v>
      </c>
      <c r="Q62" s="137" t="s">
        <v>196</v>
      </c>
      <c r="R62" s="63" t="s">
        <v>158</v>
      </c>
      <c r="S62" s="38" t="s">
        <v>177</v>
      </c>
      <c r="T62" s="29"/>
    </row>
    <row r="63" spans="2:20" ht="34.5" hidden="1" customHeight="1">
      <c r="D63" s="35"/>
      <c r="F63" s="35"/>
      <c r="G63" s="100">
        <f>H63*O63</f>
        <v>0</v>
      </c>
      <c r="H63" s="1"/>
      <c r="I63" s="40">
        <f>J63*O63</f>
        <v>0</v>
      </c>
      <c r="J63" s="49">
        <f>H63-N63</f>
        <v>0</v>
      </c>
      <c r="K63" s="6"/>
      <c r="L63" s="4"/>
      <c r="M63" s="191"/>
      <c r="N63" s="4"/>
      <c r="O63" s="148">
        <v>39700</v>
      </c>
      <c r="P63" s="160" t="s">
        <v>82</v>
      </c>
      <c r="Q63" s="138" t="s">
        <v>197</v>
      </c>
      <c r="R63" s="63" t="s">
        <v>158</v>
      </c>
      <c r="S63" s="38" t="s">
        <v>178</v>
      </c>
      <c r="T63" s="29"/>
    </row>
    <row r="64" spans="2:20" ht="34.5" hidden="1" customHeight="1">
      <c r="B64" s="259">
        <v>1613</v>
      </c>
      <c r="D64" s="35">
        <v>1964.98</v>
      </c>
      <c r="F64" s="35"/>
      <c r="G64" s="100">
        <f>H64*O64</f>
        <v>29689100</v>
      </c>
      <c r="H64" s="1">
        <f>1964+1613</f>
        <v>3577</v>
      </c>
      <c r="I64" s="40">
        <f>J64*O64</f>
        <v>18426000</v>
      </c>
      <c r="J64" s="49">
        <f>H64-N64</f>
        <v>2220</v>
      </c>
      <c r="K64" s="6"/>
      <c r="L64" s="4"/>
      <c r="M64" s="191">
        <f>N64*O64</f>
        <v>11263100</v>
      </c>
      <c r="N64" s="4">
        <v>1357</v>
      </c>
      <c r="O64" s="149">
        <v>8300</v>
      </c>
      <c r="P64" s="161" t="s">
        <v>82</v>
      </c>
      <c r="Q64" s="222" t="s">
        <v>217</v>
      </c>
      <c r="R64" s="63" t="s">
        <v>158</v>
      </c>
      <c r="S64" s="38" t="s">
        <v>216</v>
      </c>
      <c r="T64" s="29"/>
    </row>
    <row r="65" spans="2:20" ht="34.5" hidden="1" customHeight="1">
      <c r="D65" s="35">
        <v>333.12</v>
      </c>
      <c r="F65" s="35"/>
      <c r="G65" s="100">
        <f>H65*O65</f>
        <v>1698300</v>
      </c>
      <c r="H65" s="1">
        <v>333</v>
      </c>
      <c r="I65" s="40">
        <f>J65*O65</f>
        <v>234600</v>
      </c>
      <c r="J65" s="49">
        <f>H65-N65</f>
        <v>46</v>
      </c>
      <c r="K65" s="6"/>
      <c r="L65" s="4"/>
      <c r="M65" s="191">
        <f>N65*O65</f>
        <v>1463700</v>
      </c>
      <c r="N65" s="4">
        <v>287</v>
      </c>
      <c r="O65" s="150">
        <v>5100</v>
      </c>
      <c r="P65" s="162" t="s">
        <v>82</v>
      </c>
      <c r="Q65" s="139" t="s">
        <v>198</v>
      </c>
      <c r="R65" s="63" t="s">
        <v>158</v>
      </c>
      <c r="S65" s="38" t="s">
        <v>179</v>
      </c>
      <c r="T65" s="29"/>
    </row>
    <row r="66" spans="2:20" ht="33.75" hidden="1" customHeight="1" thickBot="1">
      <c r="D66" s="21"/>
      <c r="F66" s="21"/>
      <c r="G66" s="395">
        <f>SUM(G62:G65)</f>
        <v>31387400</v>
      </c>
      <c r="H66" s="396"/>
      <c r="I66" s="416">
        <f>SUM(I62:I65)</f>
        <v>18660600</v>
      </c>
      <c r="J66" s="417"/>
      <c r="K66" s="8">
        <f>L66*O66</f>
        <v>0</v>
      </c>
      <c r="L66" s="15"/>
      <c r="M66" s="418">
        <f>SUM(M64:M65)</f>
        <v>12726800</v>
      </c>
      <c r="N66" s="419"/>
      <c r="O66" s="23"/>
      <c r="P66" s="8"/>
      <c r="Q66" s="134" t="s">
        <v>199</v>
      </c>
      <c r="R66" s="120" t="s">
        <v>158</v>
      </c>
      <c r="S66" s="121"/>
      <c r="T66" s="29"/>
    </row>
    <row r="67" spans="2:20" ht="25.5" hidden="1" customHeight="1" thickBot="1">
      <c r="D67" s="85"/>
      <c r="F67" s="85"/>
      <c r="G67" s="145"/>
      <c r="H67" s="136"/>
      <c r="I67" s="146"/>
      <c r="J67" s="146"/>
      <c r="K67" s="136"/>
      <c r="L67" s="136"/>
      <c r="M67" s="145" t="s">
        <v>183</v>
      </c>
      <c r="N67" s="136"/>
      <c r="O67" s="136"/>
      <c r="P67" s="136"/>
      <c r="Q67" s="86" t="s">
        <v>200</v>
      </c>
      <c r="R67" s="42"/>
      <c r="S67" s="205"/>
    </row>
    <row r="68" spans="2:20" ht="30" hidden="1" customHeight="1">
      <c r="B68" s="259" t="s">
        <v>262</v>
      </c>
      <c r="C68" s="3">
        <v>300</v>
      </c>
      <c r="D68" s="91">
        <v>184.4</v>
      </c>
      <c r="F68" s="91"/>
      <c r="G68" s="141">
        <f>H68*O68</f>
        <v>50483200</v>
      </c>
      <c r="H68" s="49">
        <f>184+300+540</f>
        <v>1024</v>
      </c>
      <c r="I68" s="40">
        <f>J68*O68</f>
        <v>39144200</v>
      </c>
      <c r="J68" s="49">
        <f>H68-N68</f>
        <v>794</v>
      </c>
      <c r="K68" s="1"/>
      <c r="L68" s="1"/>
      <c r="M68" s="243">
        <f>N68*O68</f>
        <v>11339000</v>
      </c>
      <c r="N68" s="244">
        <v>230</v>
      </c>
      <c r="O68" s="151">
        <v>49300</v>
      </c>
      <c r="P68" s="163" t="s">
        <v>82</v>
      </c>
      <c r="Q68" s="140" t="s">
        <v>201</v>
      </c>
      <c r="R68" s="63" t="s">
        <v>158</v>
      </c>
      <c r="S68" s="212">
        <v>80101</v>
      </c>
    </row>
    <row r="69" spans="2:20" ht="33" hidden="1" customHeight="1">
      <c r="C69" s="3">
        <v>30</v>
      </c>
      <c r="D69" s="20"/>
      <c r="F69" s="20"/>
      <c r="G69" s="141">
        <f t="shared" ref="G69:G78" si="11">H69*O69</f>
        <v>2082000</v>
      </c>
      <c r="H69" s="1">
        <v>30</v>
      </c>
      <c r="I69" s="40">
        <f t="shared" ref="I69:I78" si="12">J69*O69</f>
        <v>2082000</v>
      </c>
      <c r="J69" s="49">
        <f t="shared" ref="J69:J78" si="13">H69-N69</f>
        <v>30</v>
      </c>
      <c r="K69" s="6"/>
      <c r="L69" s="4"/>
      <c r="M69" s="243">
        <f t="shared" ref="M69:M78" si="14">N69*O69</f>
        <v>0</v>
      </c>
      <c r="N69" s="245"/>
      <c r="O69" s="246">
        <v>69400</v>
      </c>
      <c r="P69" s="6" t="s">
        <v>36</v>
      </c>
      <c r="Q69" s="45" t="s">
        <v>203</v>
      </c>
      <c r="R69" s="63" t="s">
        <v>158</v>
      </c>
      <c r="S69" s="38" t="s">
        <v>114</v>
      </c>
    </row>
    <row r="70" spans="2:20" ht="33" hidden="1" customHeight="1">
      <c r="C70" s="3">
        <v>100</v>
      </c>
      <c r="D70" s="20"/>
      <c r="F70" s="20"/>
      <c r="G70" s="141">
        <f t="shared" si="11"/>
        <v>9650000</v>
      </c>
      <c r="H70" s="1">
        <v>100</v>
      </c>
      <c r="I70" s="40">
        <f t="shared" si="12"/>
        <v>-59830000</v>
      </c>
      <c r="J70" s="49">
        <f t="shared" si="13"/>
        <v>-620</v>
      </c>
      <c r="K70" s="6"/>
      <c r="L70" s="4"/>
      <c r="M70" s="243">
        <f t="shared" si="14"/>
        <v>69480000</v>
      </c>
      <c r="N70" s="245">
        <v>720</v>
      </c>
      <c r="O70" s="246">
        <v>96500</v>
      </c>
      <c r="P70" s="6" t="s">
        <v>36</v>
      </c>
      <c r="Q70" s="45" t="s">
        <v>104</v>
      </c>
      <c r="R70" s="63" t="s">
        <v>158</v>
      </c>
      <c r="S70" s="38" t="s">
        <v>103</v>
      </c>
    </row>
    <row r="71" spans="2:20" ht="33" hidden="1" customHeight="1">
      <c r="C71" s="266">
        <v>600</v>
      </c>
      <c r="D71" s="20"/>
      <c r="F71" s="20"/>
      <c r="G71" s="141">
        <f t="shared" si="11"/>
        <v>53750000</v>
      </c>
      <c r="H71" s="1">
        <v>500</v>
      </c>
      <c r="I71" s="40">
        <f t="shared" si="12"/>
        <v>53750000</v>
      </c>
      <c r="J71" s="49">
        <f t="shared" si="13"/>
        <v>500</v>
      </c>
      <c r="K71" s="6"/>
      <c r="L71" s="4"/>
      <c r="M71" s="243">
        <f t="shared" si="14"/>
        <v>0</v>
      </c>
      <c r="N71" s="245"/>
      <c r="O71" s="246">
        <v>107500</v>
      </c>
      <c r="P71" s="6" t="s">
        <v>36</v>
      </c>
      <c r="Q71" s="45" t="s">
        <v>130</v>
      </c>
      <c r="R71" s="63" t="s">
        <v>158</v>
      </c>
      <c r="S71" s="38" t="s">
        <v>129</v>
      </c>
    </row>
    <row r="72" spans="2:20" ht="33" hidden="1" customHeight="1">
      <c r="C72" s="266">
        <v>470</v>
      </c>
      <c r="D72" s="20"/>
      <c r="F72" s="20"/>
      <c r="G72" s="141">
        <f t="shared" si="11"/>
        <v>42000000</v>
      </c>
      <c r="H72" s="1">
        <v>350</v>
      </c>
      <c r="I72" s="40">
        <f t="shared" si="12"/>
        <v>42000000</v>
      </c>
      <c r="J72" s="49">
        <f t="shared" si="13"/>
        <v>350</v>
      </c>
      <c r="K72" s="6"/>
      <c r="L72" s="4"/>
      <c r="M72" s="243">
        <f t="shared" si="14"/>
        <v>0</v>
      </c>
      <c r="N72" s="245"/>
      <c r="O72" s="246">
        <v>120000</v>
      </c>
      <c r="P72" s="6" t="s">
        <v>36</v>
      </c>
      <c r="Q72" s="45" t="s">
        <v>116</v>
      </c>
      <c r="R72" s="63" t="s">
        <v>158</v>
      </c>
      <c r="S72" s="38" t="s">
        <v>115</v>
      </c>
    </row>
    <row r="73" spans="2:20" ht="33" hidden="1" customHeight="1">
      <c r="D73" s="20">
        <v>1521.75</v>
      </c>
      <c r="F73" s="20"/>
      <c r="G73" s="141">
        <f t="shared" si="11"/>
        <v>238036500</v>
      </c>
      <c r="H73" s="1">
        <v>1521</v>
      </c>
      <c r="I73" s="40">
        <f t="shared" si="12"/>
        <v>-5164500</v>
      </c>
      <c r="J73" s="49">
        <f t="shared" si="13"/>
        <v>-33</v>
      </c>
      <c r="K73" s="6"/>
      <c r="L73" s="4"/>
      <c r="M73" s="243">
        <f t="shared" si="14"/>
        <v>243201000</v>
      </c>
      <c r="N73" s="245">
        <v>1554</v>
      </c>
      <c r="O73" s="246">
        <v>156500</v>
      </c>
      <c r="P73" s="6" t="s">
        <v>36</v>
      </c>
      <c r="Q73" s="45" t="s">
        <v>232</v>
      </c>
      <c r="R73" s="63" t="s">
        <v>158</v>
      </c>
      <c r="S73" s="38" t="s">
        <v>231</v>
      </c>
    </row>
    <row r="74" spans="2:20" ht="33" hidden="1" customHeight="1">
      <c r="D74" s="20"/>
      <c r="F74" s="20"/>
      <c r="G74" s="141">
        <f t="shared" si="11"/>
        <v>0</v>
      </c>
      <c r="H74" s="1"/>
      <c r="I74" s="40">
        <f t="shared" si="12"/>
        <v>0</v>
      </c>
      <c r="J74" s="49">
        <f t="shared" si="13"/>
        <v>0</v>
      </c>
      <c r="K74" s="6"/>
      <c r="L74" s="4"/>
      <c r="M74" s="243">
        <f t="shared" si="14"/>
        <v>0</v>
      </c>
      <c r="N74" s="245"/>
      <c r="O74" s="246">
        <v>37500</v>
      </c>
      <c r="P74" s="6" t="s">
        <v>36</v>
      </c>
      <c r="Q74" s="45" t="s">
        <v>147</v>
      </c>
      <c r="R74" s="63" t="s">
        <v>158</v>
      </c>
      <c r="S74" s="36" t="s">
        <v>132</v>
      </c>
    </row>
    <row r="75" spans="2:20" ht="33" hidden="1" customHeight="1">
      <c r="D75" s="20"/>
      <c r="F75" s="20"/>
      <c r="G75" s="141">
        <f t="shared" si="11"/>
        <v>0</v>
      </c>
      <c r="H75" s="1"/>
      <c r="I75" s="40">
        <f t="shared" si="12"/>
        <v>0</v>
      </c>
      <c r="J75" s="49">
        <f t="shared" si="13"/>
        <v>0</v>
      </c>
      <c r="K75" s="6"/>
      <c r="L75" s="4"/>
      <c r="M75" s="243">
        <f t="shared" si="14"/>
        <v>0</v>
      </c>
      <c r="N75" s="245"/>
      <c r="O75" s="246">
        <v>32400</v>
      </c>
      <c r="P75" s="6" t="s">
        <v>36</v>
      </c>
      <c r="Q75" s="45" t="s">
        <v>133</v>
      </c>
      <c r="R75" s="63" t="s">
        <v>158</v>
      </c>
      <c r="S75" s="36" t="s">
        <v>131</v>
      </c>
    </row>
    <row r="76" spans="2:20" ht="33" hidden="1" customHeight="1">
      <c r="D76" s="20"/>
      <c r="F76" s="20"/>
      <c r="G76" s="141">
        <f t="shared" si="11"/>
        <v>0</v>
      </c>
      <c r="H76" s="1"/>
      <c r="I76" s="40">
        <f t="shared" si="12"/>
        <v>0</v>
      </c>
      <c r="J76" s="49">
        <f t="shared" si="13"/>
        <v>0</v>
      </c>
      <c r="K76" s="6"/>
      <c r="L76" s="4"/>
      <c r="M76" s="243">
        <f t="shared" si="14"/>
        <v>0</v>
      </c>
      <c r="N76" s="245"/>
      <c r="O76" s="246">
        <v>13400</v>
      </c>
      <c r="P76" s="6" t="s">
        <v>36</v>
      </c>
      <c r="Q76" s="46" t="s">
        <v>90</v>
      </c>
      <c r="R76" s="63" t="s">
        <v>158</v>
      </c>
      <c r="S76" s="36" t="s">
        <v>88</v>
      </c>
    </row>
    <row r="77" spans="2:20" ht="33" hidden="1" customHeight="1">
      <c r="B77" s="259">
        <v>5520</v>
      </c>
      <c r="C77" s="3">
        <v>3500</v>
      </c>
      <c r="D77" s="20">
        <v>7547.5</v>
      </c>
      <c r="F77" s="20"/>
      <c r="G77" s="141">
        <f t="shared" si="11"/>
        <v>88799120</v>
      </c>
      <c r="H77" s="1">
        <f>7547+3500+5520</f>
        <v>16567</v>
      </c>
      <c r="I77" s="40">
        <f t="shared" si="12"/>
        <v>84484320</v>
      </c>
      <c r="J77" s="49">
        <f t="shared" si="13"/>
        <v>15762</v>
      </c>
      <c r="K77" s="6"/>
      <c r="L77" s="4"/>
      <c r="M77" s="243">
        <f t="shared" si="14"/>
        <v>4314800</v>
      </c>
      <c r="N77" s="245">
        <v>805</v>
      </c>
      <c r="O77" s="246">
        <v>5360</v>
      </c>
      <c r="P77" s="4" t="s">
        <v>47</v>
      </c>
      <c r="Q77" s="46" t="s">
        <v>46</v>
      </c>
      <c r="R77" s="63" t="s">
        <v>158</v>
      </c>
      <c r="S77" s="36" t="s">
        <v>45</v>
      </c>
    </row>
    <row r="78" spans="2:20" ht="33" hidden="1" customHeight="1">
      <c r="C78" s="3">
        <v>300</v>
      </c>
      <c r="D78" s="20"/>
      <c r="F78" s="20"/>
      <c r="G78" s="141">
        <f t="shared" si="11"/>
        <v>18960000</v>
      </c>
      <c r="H78" s="1">
        <v>300</v>
      </c>
      <c r="I78" s="40">
        <f t="shared" si="12"/>
        <v>18960000</v>
      </c>
      <c r="J78" s="49">
        <f t="shared" si="13"/>
        <v>300</v>
      </c>
      <c r="K78" s="6"/>
      <c r="L78" s="4"/>
      <c r="M78" s="243">
        <f t="shared" si="14"/>
        <v>0</v>
      </c>
      <c r="N78" s="245"/>
      <c r="O78" s="246">
        <v>63200</v>
      </c>
      <c r="P78" s="6" t="s">
        <v>36</v>
      </c>
      <c r="Q78" s="46" t="s">
        <v>87</v>
      </c>
      <c r="R78" s="63" t="s">
        <v>158</v>
      </c>
      <c r="S78" s="36" t="s">
        <v>89</v>
      </c>
    </row>
    <row r="79" spans="2:20" ht="33" hidden="1" customHeight="1" thickBot="1">
      <c r="D79" s="142"/>
      <c r="F79" s="142"/>
      <c r="G79" s="412">
        <f>SUM(G68:G78)</f>
        <v>503760820</v>
      </c>
      <c r="H79" s="413"/>
      <c r="I79" s="399">
        <f>SUM(I68:I78)</f>
        <v>175426020</v>
      </c>
      <c r="J79" s="399"/>
      <c r="K79" s="411">
        <f>SUM(K67:K78)</f>
        <v>0</v>
      </c>
      <c r="L79" s="411"/>
      <c r="M79" s="411">
        <f>SUM(M68:M78)</f>
        <v>328334800</v>
      </c>
      <c r="N79" s="411"/>
      <c r="O79" s="133"/>
      <c r="P79" s="132"/>
      <c r="Q79" s="132" t="s">
        <v>6</v>
      </c>
      <c r="R79" s="8"/>
      <c r="S79" s="209"/>
    </row>
    <row r="80" spans="2:20" ht="49.5" hidden="1" customHeight="1" thickBot="1">
      <c r="D80" s="13"/>
      <c r="F80" s="13"/>
      <c r="G80" s="99"/>
      <c r="H80" s="37"/>
      <c r="I80" s="50"/>
      <c r="J80" s="50"/>
      <c r="K80" s="37"/>
      <c r="L80" s="37"/>
      <c r="M80" s="99"/>
      <c r="N80" s="37"/>
      <c r="O80" s="24"/>
      <c r="P80" s="9"/>
      <c r="Q80" s="9"/>
      <c r="R80" s="70"/>
      <c r="S80" s="208"/>
    </row>
    <row r="81" spans="2:20" ht="25.5" hidden="1" customHeight="1">
      <c r="D81" s="77"/>
      <c r="F81" s="173"/>
      <c r="G81" s="382" t="s">
        <v>300</v>
      </c>
      <c r="H81" s="382"/>
      <c r="I81" s="382" t="s">
        <v>145</v>
      </c>
      <c r="J81" s="382"/>
      <c r="K81" s="78"/>
      <c r="L81" s="78"/>
      <c r="M81" s="199"/>
      <c r="N81" s="78"/>
      <c r="O81" s="79"/>
      <c r="P81" s="78"/>
      <c r="Q81" s="80" t="s">
        <v>171</v>
      </c>
      <c r="R81" s="41"/>
      <c r="S81" s="219"/>
    </row>
    <row r="82" spans="2:20" ht="25.5" hidden="1" customHeight="1">
      <c r="D82" s="81"/>
      <c r="F82" s="174"/>
      <c r="G82" s="96"/>
      <c r="H82" s="82"/>
      <c r="I82" s="83"/>
      <c r="J82" s="143" t="s">
        <v>146</v>
      </c>
      <c r="K82" s="144"/>
      <c r="L82" s="144"/>
      <c r="M82" s="200"/>
      <c r="N82" s="144"/>
      <c r="O82" s="135"/>
      <c r="P82" s="144"/>
      <c r="Q82" s="84" t="s">
        <v>292</v>
      </c>
      <c r="R82" s="56"/>
      <c r="S82" s="175"/>
    </row>
    <row r="83" spans="2:20" ht="25.5" hidden="1" customHeight="1" thickBot="1">
      <c r="D83" s="85"/>
      <c r="F83" s="85"/>
      <c r="G83" s="145"/>
      <c r="H83" s="136"/>
      <c r="I83" s="146"/>
      <c r="J83" s="146"/>
      <c r="K83" s="136"/>
      <c r="L83" s="136"/>
      <c r="M83" s="145" t="s">
        <v>183</v>
      </c>
      <c r="N83" s="136"/>
      <c r="O83" s="136"/>
      <c r="P83" s="136"/>
      <c r="Q83" s="86" t="s">
        <v>202</v>
      </c>
      <c r="R83" s="42"/>
      <c r="S83" s="205"/>
    </row>
    <row r="84" spans="2:20" ht="30" hidden="1" customHeight="1">
      <c r="D84" s="385" t="s">
        <v>144</v>
      </c>
      <c r="F84" s="385"/>
      <c r="G84" s="406" t="s">
        <v>63</v>
      </c>
      <c r="H84" s="406"/>
      <c r="I84" s="409" t="s">
        <v>170</v>
      </c>
      <c r="J84" s="409"/>
      <c r="K84" s="401" t="s">
        <v>2</v>
      </c>
      <c r="L84" s="401"/>
      <c r="M84" s="401" t="s">
        <v>169</v>
      </c>
      <c r="N84" s="401"/>
      <c r="O84" s="426" t="s">
        <v>139</v>
      </c>
      <c r="P84" s="401" t="s">
        <v>1</v>
      </c>
      <c r="Q84" s="401" t="s">
        <v>138</v>
      </c>
      <c r="R84" s="63"/>
      <c r="S84" s="424" t="s">
        <v>0</v>
      </c>
    </row>
    <row r="85" spans="2:20" ht="30" hidden="1" customHeight="1">
      <c r="D85" s="386"/>
      <c r="F85" s="386"/>
      <c r="G85" s="97" t="s">
        <v>143</v>
      </c>
      <c r="H85" s="49" t="s">
        <v>142</v>
      </c>
      <c r="I85" s="49" t="s">
        <v>143</v>
      </c>
      <c r="J85" s="49" t="s">
        <v>142</v>
      </c>
      <c r="K85" s="1" t="s">
        <v>4</v>
      </c>
      <c r="L85" s="1" t="s">
        <v>3</v>
      </c>
      <c r="M85" s="100" t="s">
        <v>141</v>
      </c>
      <c r="N85" s="1" t="s">
        <v>140</v>
      </c>
      <c r="O85" s="427"/>
      <c r="P85" s="422"/>
      <c r="Q85" s="422"/>
      <c r="R85" s="63"/>
      <c r="S85" s="425"/>
    </row>
    <row r="86" spans="2:20" ht="31.5" hidden="1" customHeight="1">
      <c r="D86" s="20">
        <v>7265</v>
      </c>
      <c r="F86" s="20"/>
      <c r="G86" s="100">
        <f>H86*O86</f>
        <v>58410600</v>
      </c>
      <c r="H86" s="1">
        <v>7265</v>
      </c>
      <c r="I86" s="40">
        <f>J86*O86</f>
        <v>3770760</v>
      </c>
      <c r="J86" s="49">
        <f>H86-N86</f>
        <v>469</v>
      </c>
      <c r="K86" s="4"/>
      <c r="L86" s="4"/>
      <c r="M86" s="191">
        <f>N86*O86</f>
        <v>54639840</v>
      </c>
      <c r="N86" s="4">
        <v>6796</v>
      </c>
      <c r="O86" s="22">
        <v>8040</v>
      </c>
      <c r="P86" s="4" t="s">
        <v>48</v>
      </c>
      <c r="Q86" s="6" t="s">
        <v>94</v>
      </c>
      <c r="R86" s="63" t="s">
        <v>158</v>
      </c>
      <c r="S86" s="36" t="s">
        <v>91</v>
      </c>
    </row>
    <row r="87" spans="2:20" ht="31.5" hidden="1" customHeight="1">
      <c r="D87" s="20">
        <v>53957.8</v>
      </c>
      <c r="F87" s="20"/>
      <c r="G87" s="100">
        <f>H87*O87</f>
        <v>349637805.00666648</v>
      </c>
      <c r="H87" s="267">
        <v>54974.497642557624</v>
      </c>
      <c r="I87" s="40">
        <f>J87*O87</f>
        <v>17779365.006666489</v>
      </c>
      <c r="J87" s="49">
        <f>H87-N87</f>
        <v>2795.4976425576242</v>
      </c>
      <c r="K87" s="4"/>
      <c r="L87" s="4"/>
      <c r="M87" s="191">
        <f>N87*O87</f>
        <v>331858440</v>
      </c>
      <c r="N87" s="4">
        <v>52179</v>
      </c>
      <c r="O87" s="22">
        <v>6360</v>
      </c>
      <c r="P87" s="4" t="s">
        <v>48</v>
      </c>
      <c r="Q87" s="6" t="s">
        <v>95</v>
      </c>
      <c r="R87" s="63" t="s">
        <v>158</v>
      </c>
      <c r="S87" s="36" t="s">
        <v>92</v>
      </c>
    </row>
    <row r="88" spans="2:20" ht="31.5" hidden="1" customHeight="1">
      <c r="B88" s="259" t="s">
        <v>263</v>
      </c>
      <c r="D88" s="20">
        <v>27030.59</v>
      </c>
      <c r="F88" s="20"/>
      <c r="G88" s="100">
        <f>H88*O88</f>
        <v>171782280</v>
      </c>
      <c r="H88" s="223">
        <v>28069</v>
      </c>
      <c r="I88" s="40">
        <f>J88*O88</f>
        <v>171782280</v>
      </c>
      <c r="J88" s="49">
        <f>H88-N88</f>
        <v>28069</v>
      </c>
      <c r="K88" s="4"/>
      <c r="L88" s="4"/>
      <c r="M88" s="191">
        <f>N88*O88</f>
        <v>0</v>
      </c>
      <c r="N88" s="4"/>
      <c r="O88" s="22">
        <v>6120</v>
      </c>
      <c r="P88" s="4" t="s">
        <v>48</v>
      </c>
      <c r="Q88" s="4" t="s">
        <v>96</v>
      </c>
      <c r="R88" s="63" t="s">
        <v>158</v>
      </c>
      <c r="S88" s="36" t="s">
        <v>93</v>
      </c>
    </row>
    <row r="89" spans="2:20" ht="31.5" hidden="1" customHeight="1">
      <c r="D89" s="20"/>
      <c r="F89" s="20"/>
      <c r="G89" s="100">
        <f>H89*O89</f>
        <v>0</v>
      </c>
      <c r="H89" s="1"/>
      <c r="I89" s="40">
        <f>J89*O89</f>
        <v>0</v>
      </c>
      <c r="J89" s="49">
        <f>H89-N89</f>
        <v>0</v>
      </c>
      <c r="K89" s="4"/>
      <c r="L89" s="4"/>
      <c r="M89" s="191">
        <f>N89*O89</f>
        <v>0</v>
      </c>
      <c r="N89" s="4"/>
      <c r="O89" s="22">
        <v>325</v>
      </c>
      <c r="P89" s="4" t="s">
        <v>48</v>
      </c>
      <c r="Q89" s="4" t="s">
        <v>118</v>
      </c>
      <c r="R89" s="63" t="s">
        <v>158</v>
      </c>
      <c r="S89" s="36" t="s">
        <v>117</v>
      </c>
    </row>
    <row r="90" spans="2:20" ht="31.5" hidden="1" customHeight="1">
      <c r="D90" s="20"/>
      <c r="F90" s="20"/>
      <c r="G90" s="100">
        <f>H90*O90</f>
        <v>0</v>
      </c>
      <c r="H90" s="1"/>
      <c r="I90" s="40">
        <f>J90*O90</f>
        <v>0</v>
      </c>
      <c r="J90" s="49">
        <f>H90-N90</f>
        <v>0</v>
      </c>
      <c r="K90" s="4"/>
      <c r="L90" s="4"/>
      <c r="M90" s="191">
        <f>N90*O90</f>
        <v>0</v>
      </c>
      <c r="N90" s="4"/>
      <c r="O90" s="22">
        <v>12600</v>
      </c>
      <c r="P90" s="4" t="s">
        <v>48</v>
      </c>
      <c r="Q90" s="45" t="s">
        <v>135</v>
      </c>
      <c r="R90" s="63" t="s">
        <v>158</v>
      </c>
      <c r="S90" s="36" t="s">
        <v>134</v>
      </c>
    </row>
    <row r="91" spans="2:20" ht="31.5" hidden="1" customHeight="1" thickBot="1">
      <c r="D91" s="57"/>
      <c r="F91" s="57"/>
      <c r="G91" s="414">
        <f>SUM(G86:G90)</f>
        <v>579830685.00666642</v>
      </c>
      <c r="H91" s="415"/>
      <c r="I91" s="430">
        <f>SUM(I86:I90)</f>
        <v>193332405.00666648</v>
      </c>
      <c r="J91" s="430"/>
      <c r="K91" s="423">
        <f>SUM(K86:K90)</f>
        <v>0</v>
      </c>
      <c r="L91" s="423"/>
      <c r="M91" s="423">
        <f>SUM(M86:M90)</f>
        <v>386498280</v>
      </c>
      <c r="N91" s="423"/>
      <c r="O91" s="423"/>
      <c r="P91" s="423"/>
      <c r="Q91" s="164" t="s">
        <v>7</v>
      </c>
      <c r="R91" s="165"/>
      <c r="S91" s="213"/>
    </row>
    <row r="92" spans="2:20" ht="27.75" hidden="1" customHeight="1">
      <c r="D92" s="186"/>
      <c r="F92" s="186"/>
      <c r="G92" s="187"/>
      <c r="H92" s="188"/>
      <c r="I92" s="189"/>
      <c r="J92" s="189"/>
      <c r="K92" s="188"/>
      <c r="L92" s="188"/>
      <c r="M92" s="201" t="s">
        <v>183</v>
      </c>
      <c r="N92" s="188"/>
      <c r="O92" s="190"/>
      <c r="P92" s="188"/>
      <c r="Q92" s="188" t="s">
        <v>8</v>
      </c>
      <c r="R92" s="188"/>
      <c r="S92" s="215"/>
    </row>
    <row r="93" spans="2:20" ht="28.5" hidden="1" customHeight="1">
      <c r="D93" s="5">
        <v>650</v>
      </c>
      <c r="F93" s="5"/>
      <c r="G93" s="191">
        <f>H93*O93</f>
        <v>11505000</v>
      </c>
      <c r="H93" s="1">
        <v>650</v>
      </c>
      <c r="I93" s="40">
        <f>J93*O93</f>
        <v>11505000</v>
      </c>
      <c r="J93" s="49">
        <f>H93-N93</f>
        <v>650</v>
      </c>
      <c r="K93" s="6"/>
      <c r="L93" s="4"/>
      <c r="M93" s="191"/>
      <c r="N93" s="4"/>
      <c r="O93" s="22">
        <v>17700</v>
      </c>
      <c r="P93" s="6" t="s">
        <v>48</v>
      </c>
      <c r="Q93" s="45" t="s">
        <v>250</v>
      </c>
      <c r="R93" s="6" t="s">
        <v>158</v>
      </c>
      <c r="S93" s="34" t="s">
        <v>249</v>
      </c>
    </row>
    <row r="94" spans="2:20" ht="28.5" hidden="1" customHeight="1">
      <c r="D94" s="5"/>
      <c r="F94" s="5"/>
      <c r="G94" s="191">
        <f>H94*O94</f>
        <v>0</v>
      </c>
      <c r="H94" s="1"/>
      <c r="I94" s="40">
        <f>J94*O94</f>
        <v>0</v>
      </c>
      <c r="J94" s="49">
        <f>H94-N94</f>
        <v>0</v>
      </c>
      <c r="K94" s="6"/>
      <c r="L94" s="4"/>
      <c r="M94" s="191"/>
      <c r="N94" s="4"/>
      <c r="O94" s="22">
        <v>12500</v>
      </c>
      <c r="P94" s="6" t="s">
        <v>48</v>
      </c>
      <c r="Q94" s="45" t="s">
        <v>119</v>
      </c>
      <c r="R94" s="6" t="s">
        <v>158</v>
      </c>
      <c r="S94" s="207">
        <v>110301</v>
      </c>
      <c r="T94" s="27"/>
    </row>
    <row r="95" spans="2:20" ht="28.5" hidden="1" customHeight="1" thickBot="1">
      <c r="D95" s="185">
        <v>1220</v>
      </c>
      <c r="F95" s="185"/>
      <c r="G95" s="191">
        <f>H95*O95</f>
        <v>54900000</v>
      </c>
      <c r="H95" s="43">
        <v>1220</v>
      </c>
      <c r="I95" s="40">
        <f>J95*O95</f>
        <v>900000</v>
      </c>
      <c r="J95" s="49">
        <f>H95-N95</f>
        <v>20</v>
      </c>
      <c r="K95" s="8"/>
      <c r="L95" s="15"/>
      <c r="M95" s="197">
        <f>N95*O95</f>
        <v>54000000</v>
      </c>
      <c r="N95" s="15">
        <v>1200</v>
      </c>
      <c r="O95" s="23">
        <v>45000</v>
      </c>
      <c r="P95" s="8" t="s">
        <v>48</v>
      </c>
      <c r="Q95" s="198" t="s">
        <v>233</v>
      </c>
      <c r="R95" s="8" t="s">
        <v>159</v>
      </c>
      <c r="S95" s="209">
        <v>110304</v>
      </c>
      <c r="T95" s="27"/>
    </row>
    <row r="96" spans="2:20" ht="28.5" hidden="1" customHeight="1" thickBot="1">
      <c r="D96" s="193"/>
      <c r="F96" s="193"/>
      <c r="G96" s="404">
        <f>SUM(G93:G95)</f>
        <v>66405000</v>
      </c>
      <c r="H96" s="405"/>
      <c r="I96" s="410">
        <f>SUM(I93:I95)</f>
        <v>12405000</v>
      </c>
      <c r="J96" s="410"/>
      <c r="K96" s="431">
        <f>SUM(K93:K95)</f>
        <v>0</v>
      </c>
      <c r="L96" s="431"/>
      <c r="M96" s="431">
        <f>SUM(M93:M95)</f>
        <v>54000000</v>
      </c>
      <c r="N96" s="431"/>
      <c r="O96" s="195"/>
      <c r="P96" s="194"/>
      <c r="Q96" s="194" t="s">
        <v>10</v>
      </c>
      <c r="R96" s="196"/>
      <c r="S96" s="216"/>
    </row>
    <row r="97" spans="2:19" ht="49.5" hidden="1" customHeight="1" thickBot="1">
      <c r="G97" s="101"/>
      <c r="H97" s="17"/>
      <c r="I97" s="52"/>
      <c r="J97" s="52"/>
      <c r="K97" s="17"/>
      <c r="L97" s="17"/>
      <c r="M97" s="101"/>
      <c r="N97" s="17"/>
      <c r="O97" s="24"/>
      <c r="P97" s="17"/>
      <c r="Q97" s="18"/>
      <c r="R97" s="18"/>
      <c r="S97" s="210"/>
    </row>
    <row r="98" spans="2:19" ht="25.5" hidden="1" customHeight="1">
      <c r="D98" s="77"/>
      <c r="F98" s="173"/>
      <c r="G98" s="382" t="s">
        <v>300</v>
      </c>
      <c r="H98" s="382"/>
      <c r="I98" s="382" t="s">
        <v>145</v>
      </c>
      <c r="J98" s="382"/>
      <c r="K98" s="78"/>
      <c r="L98" s="78"/>
      <c r="M98" s="199"/>
      <c r="N98" s="78"/>
      <c r="O98" s="79"/>
      <c r="P98" s="78"/>
      <c r="Q98" s="80" t="s">
        <v>171</v>
      </c>
      <c r="R98" s="41"/>
      <c r="S98" s="219"/>
    </row>
    <row r="99" spans="2:19" ht="25.5" hidden="1" customHeight="1">
      <c r="D99" s="81"/>
      <c r="F99" s="174"/>
      <c r="G99" s="96"/>
      <c r="H99" s="82"/>
      <c r="I99" s="83"/>
      <c r="J99" s="143" t="s">
        <v>146</v>
      </c>
      <c r="K99" s="144"/>
      <c r="L99" s="144"/>
      <c r="M99" s="200"/>
      <c r="N99" s="144"/>
      <c r="O99" s="135"/>
      <c r="P99" s="144"/>
      <c r="Q99" s="84" t="s">
        <v>292</v>
      </c>
      <c r="R99" s="56"/>
      <c r="S99" s="175"/>
    </row>
    <row r="100" spans="2:19" ht="25.5" hidden="1" customHeight="1" thickBot="1">
      <c r="D100" s="85"/>
      <c r="F100" s="85"/>
      <c r="G100" s="145"/>
      <c r="H100" s="136"/>
      <c r="I100" s="146"/>
      <c r="J100" s="146"/>
      <c r="K100" s="136"/>
      <c r="L100" s="136"/>
      <c r="M100" s="202" t="s">
        <v>183</v>
      </c>
      <c r="N100" s="136"/>
      <c r="O100" s="136"/>
      <c r="P100" s="136"/>
      <c r="Q100" s="86" t="s">
        <v>206</v>
      </c>
      <c r="R100" s="42"/>
      <c r="S100" s="205"/>
    </row>
    <row r="101" spans="2:19" ht="30" hidden="1" customHeight="1">
      <c r="D101" s="385" t="s">
        <v>144</v>
      </c>
      <c r="F101" s="385" t="s">
        <v>144</v>
      </c>
      <c r="G101" s="406" t="s">
        <v>63</v>
      </c>
      <c r="H101" s="406"/>
      <c r="I101" s="409" t="s">
        <v>170</v>
      </c>
      <c r="J101" s="409"/>
      <c r="K101" s="401" t="s">
        <v>2</v>
      </c>
      <c r="L101" s="401"/>
      <c r="M101" s="401" t="s">
        <v>169</v>
      </c>
      <c r="N101" s="401"/>
      <c r="O101" s="426" t="s">
        <v>139</v>
      </c>
      <c r="P101" s="401" t="s">
        <v>1</v>
      </c>
      <c r="Q101" s="401" t="s">
        <v>138</v>
      </c>
      <c r="R101" s="62"/>
      <c r="S101" s="424" t="s">
        <v>0</v>
      </c>
    </row>
    <row r="102" spans="2:19" ht="30" hidden="1" customHeight="1">
      <c r="D102" s="386"/>
      <c r="F102" s="386"/>
      <c r="G102" s="97" t="s">
        <v>143</v>
      </c>
      <c r="H102" s="49" t="s">
        <v>142</v>
      </c>
      <c r="I102" s="49" t="s">
        <v>143</v>
      </c>
      <c r="J102" s="49" t="s">
        <v>142</v>
      </c>
      <c r="K102" s="1" t="s">
        <v>4</v>
      </c>
      <c r="L102" s="1" t="s">
        <v>3</v>
      </c>
      <c r="M102" s="100" t="s">
        <v>141</v>
      </c>
      <c r="N102" s="1" t="s">
        <v>140</v>
      </c>
      <c r="O102" s="427"/>
      <c r="P102" s="422"/>
      <c r="Q102" s="422"/>
      <c r="R102" s="2"/>
      <c r="S102" s="425"/>
    </row>
    <row r="103" spans="2:19" ht="30" hidden="1" customHeight="1">
      <c r="D103" s="55"/>
      <c r="F103" s="55"/>
      <c r="G103" s="100">
        <f>H103*O103</f>
        <v>0</v>
      </c>
      <c r="H103" s="49"/>
      <c r="I103" s="40">
        <f>J103*O103</f>
        <v>0</v>
      </c>
      <c r="J103" s="49">
        <f>H103-N103</f>
        <v>0</v>
      </c>
      <c r="K103" s="1"/>
      <c r="L103" s="1"/>
      <c r="M103" s="191">
        <f>N103*O103</f>
        <v>0</v>
      </c>
      <c r="N103" s="1"/>
      <c r="O103" s="22">
        <v>220000</v>
      </c>
      <c r="P103" s="6" t="s">
        <v>35</v>
      </c>
      <c r="Q103" s="45" t="s">
        <v>219</v>
      </c>
      <c r="R103" s="2"/>
      <c r="S103" s="34" t="s">
        <v>218</v>
      </c>
    </row>
    <row r="104" spans="2:19" ht="39" hidden="1" customHeight="1">
      <c r="D104" s="20"/>
      <c r="F104" s="20"/>
      <c r="G104" s="100">
        <f t="shared" ref="G104:G119" si="15">H104*O104</f>
        <v>0</v>
      </c>
      <c r="H104" s="1"/>
      <c r="I104" s="40">
        <f t="shared" ref="I104:I119" si="16">J104*O104</f>
        <v>0</v>
      </c>
      <c r="J104" s="49">
        <f t="shared" ref="J104:J119" si="17">H104-N104</f>
        <v>0</v>
      </c>
      <c r="K104" s="6"/>
      <c r="L104" s="6"/>
      <c r="M104" s="191">
        <f t="shared" ref="M104:M119" si="18">N104*O104</f>
        <v>0</v>
      </c>
      <c r="N104" s="6"/>
      <c r="O104" s="22">
        <v>249500</v>
      </c>
      <c r="P104" s="6" t="s">
        <v>35</v>
      </c>
      <c r="Q104" s="45" t="s">
        <v>182</v>
      </c>
      <c r="R104" s="66" t="s">
        <v>158</v>
      </c>
      <c r="S104" s="34">
        <v>120103</v>
      </c>
    </row>
    <row r="105" spans="2:19" ht="39" hidden="1" customHeight="1">
      <c r="B105" s="259">
        <v>893</v>
      </c>
      <c r="C105" s="3">
        <v>2150</v>
      </c>
      <c r="D105" s="20">
        <v>416.5</v>
      </c>
      <c r="F105" s="20"/>
      <c r="G105" s="100">
        <f t="shared" si="15"/>
        <v>970249500</v>
      </c>
      <c r="H105" s="1">
        <f>416+2150+893</f>
        <v>3459</v>
      </c>
      <c r="I105" s="40">
        <f t="shared" si="16"/>
        <v>754264500</v>
      </c>
      <c r="J105" s="49">
        <f t="shared" si="17"/>
        <v>2689</v>
      </c>
      <c r="K105" s="6"/>
      <c r="L105" s="6"/>
      <c r="M105" s="191">
        <f t="shared" si="18"/>
        <v>215985000</v>
      </c>
      <c r="N105" s="6">
        <v>770</v>
      </c>
      <c r="O105" s="22">
        <v>280500</v>
      </c>
      <c r="P105" s="6" t="s">
        <v>35</v>
      </c>
      <c r="Q105" s="46" t="s">
        <v>120</v>
      </c>
      <c r="R105" s="66" t="s">
        <v>158</v>
      </c>
      <c r="S105" s="34">
        <v>120104</v>
      </c>
    </row>
    <row r="106" spans="2:19" ht="39" hidden="1" customHeight="1">
      <c r="D106" s="20">
        <v>92.36</v>
      </c>
      <c r="F106" s="20"/>
      <c r="G106" s="100">
        <f t="shared" si="15"/>
        <v>31096000</v>
      </c>
      <c r="H106" s="1">
        <v>92</v>
      </c>
      <c r="I106" s="40">
        <f t="shared" si="16"/>
        <v>0</v>
      </c>
      <c r="J106" s="49">
        <f t="shared" si="17"/>
        <v>0</v>
      </c>
      <c r="K106" s="6"/>
      <c r="L106" s="6"/>
      <c r="M106" s="191">
        <f t="shared" si="18"/>
        <v>31096000</v>
      </c>
      <c r="N106" s="4">
        <v>92</v>
      </c>
      <c r="O106" s="22">
        <v>338000</v>
      </c>
      <c r="P106" s="6" t="s">
        <v>35</v>
      </c>
      <c r="Q106" s="46" t="s">
        <v>51</v>
      </c>
      <c r="R106" s="66" t="s">
        <v>158</v>
      </c>
      <c r="S106" s="207" t="s">
        <v>49</v>
      </c>
    </row>
    <row r="107" spans="2:19" ht="39" hidden="1" customHeight="1">
      <c r="D107" s="20">
        <v>708.39</v>
      </c>
      <c r="F107" s="20"/>
      <c r="G107" s="100">
        <f t="shared" si="15"/>
        <v>258774000</v>
      </c>
      <c r="H107" s="1">
        <v>708</v>
      </c>
      <c r="I107" s="40">
        <f t="shared" si="16"/>
        <v>-17909500</v>
      </c>
      <c r="J107" s="49">
        <f t="shared" si="17"/>
        <v>-49</v>
      </c>
      <c r="K107" s="6"/>
      <c r="L107" s="6"/>
      <c r="M107" s="191">
        <f t="shared" si="18"/>
        <v>276683500</v>
      </c>
      <c r="N107" s="4">
        <v>757</v>
      </c>
      <c r="O107" s="22">
        <v>365500</v>
      </c>
      <c r="P107" s="6" t="s">
        <v>35</v>
      </c>
      <c r="Q107" s="46" t="s">
        <v>160</v>
      </c>
      <c r="R107" s="66" t="s">
        <v>158</v>
      </c>
      <c r="S107" s="207">
        <v>120107</v>
      </c>
    </row>
    <row r="108" spans="2:19" ht="39" hidden="1" customHeight="1">
      <c r="D108" s="20"/>
      <c r="F108" s="20"/>
      <c r="G108" s="100">
        <f t="shared" si="15"/>
        <v>0</v>
      </c>
      <c r="H108" s="1"/>
      <c r="I108" s="40">
        <f t="shared" si="16"/>
        <v>0</v>
      </c>
      <c r="J108" s="49">
        <f t="shared" si="17"/>
        <v>0</v>
      </c>
      <c r="K108" s="6"/>
      <c r="L108" s="6"/>
      <c r="M108" s="191">
        <f t="shared" si="18"/>
        <v>0</v>
      </c>
      <c r="N108" s="4"/>
      <c r="O108" s="22">
        <v>25400</v>
      </c>
      <c r="P108" s="6" t="s">
        <v>35</v>
      </c>
      <c r="Q108" s="46" t="s">
        <v>161</v>
      </c>
      <c r="R108" s="66" t="s">
        <v>158</v>
      </c>
      <c r="S108" s="207">
        <v>120110</v>
      </c>
    </row>
    <row r="109" spans="2:19" ht="39" hidden="1" customHeight="1">
      <c r="C109" s="3">
        <v>1800</v>
      </c>
      <c r="D109" s="20">
        <v>118.37</v>
      </c>
      <c r="F109" s="20"/>
      <c r="G109" s="100">
        <f t="shared" si="15"/>
        <v>37796000</v>
      </c>
      <c r="H109" s="1">
        <f>118+1600</f>
        <v>1718</v>
      </c>
      <c r="I109" s="40">
        <f t="shared" si="16"/>
        <v>18832000</v>
      </c>
      <c r="J109" s="49">
        <f t="shared" si="17"/>
        <v>856</v>
      </c>
      <c r="K109" s="6"/>
      <c r="L109" s="6"/>
      <c r="M109" s="191">
        <f t="shared" si="18"/>
        <v>18964000</v>
      </c>
      <c r="N109" s="4">
        <v>862</v>
      </c>
      <c r="O109" s="22">
        <v>22000</v>
      </c>
      <c r="P109" s="6" t="s">
        <v>35</v>
      </c>
      <c r="Q109" s="46" t="s">
        <v>121</v>
      </c>
      <c r="R109" s="66" t="s">
        <v>158</v>
      </c>
      <c r="S109" s="207">
        <v>120302</v>
      </c>
    </row>
    <row r="110" spans="2:19" ht="39" hidden="1" customHeight="1">
      <c r="C110" s="3">
        <f>2300-1800</f>
        <v>500</v>
      </c>
      <c r="D110" s="20">
        <v>709.89</v>
      </c>
      <c r="F110" s="20"/>
      <c r="G110" s="100">
        <f t="shared" si="15"/>
        <v>45469000</v>
      </c>
      <c r="H110" s="1">
        <f>709+400</f>
        <v>1109</v>
      </c>
      <c r="I110" s="40">
        <f t="shared" si="16"/>
        <v>14432000</v>
      </c>
      <c r="J110" s="49">
        <f t="shared" si="17"/>
        <v>352</v>
      </c>
      <c r="K110" s="6"/>
      <c r="L110" s="6"/>
      <c r="M110" s="191">
        <f t="shared" si="18"/>
        <v>31037000</v>
      </c>
      <c r="N110" s="4">
        <v>757</v>
      </c>
      <c r="O110" s="22">
        <v>41000</v>
      </c>
      <c r="P110" s="6" t="s">
        <v>35</v>
      </c>
      <c r="Q110" s="46" t="s">
        <v>122</v>
      </c>
      <c r="R110" s="66" t="s">
        <v>158</v>
      </c>
      <c r="S110" s="207">
        <v>120303</v>
      </c>
    </row>
    <row r="111" spans="2:19" ht="39" hidden="1" customHeight="1">
      <c r="D111" s="20"/>
      <c r="F111" s="20"/>
      <c r="G111" s="100">
        <f t="shared" si="15"/>
        <v>0</v>
      </c>
      <c r="H111" s="1"/>
      <c r="I111" s="40">
        <f t="shared" si="16"/>
        <v>0</v>
      </c>
      <c r="J111" s="49">
        <f t="shared" si="17"/>
        <v>0</v>
      </c>
      <c r="K111" s="6"/>
      <c r="L111" s="6"/>
      <c r="M111" s="191">
        <f t="shared" si="18"/>
        <v>0</v>
      </c>
      <c r="N111" s="4"/>
      <c r="O111" s="108">
        <v>29300</v>
      </c>
      <c r="P111" s="6" t="s">
        <v>35</v>
      </c>
      <c r="Q111" s="46" t="s">
        <v>123</v>
      </c>
      <c r="R111" s="66" t="s">
        <v>158</v>
      </c>
      <c r="S111" s="207">
        <v>120305</v>
      </c>
    </row>
    <row r="112" spans="2:19" ht="39" hidden="1" customHeight="1">
      <c r="D112" s="20"/>
      <c r="F112" s="20"/>
      <c r="G112" s="100">
        <f t="shared" si="15"/>
        <v>0</v>
      </c>
      <c r="H112" s="1"/>
      <c r="I112" s="40">
        <f t="shared" si="16"/>
        <v>0</v>
      </c>
      <c r="J112" s="49">
        <f t="shared" si="17"/>
        <v>0</v>
      </c>
      <c r="K112" s="6"/>
      <c r="L112" s="6"/>
      <c r="M112" s="191">
        <f t="shared" si="18"/>
        <v>0</v>
      </c>
      <c r="N112" s="4"/>
      <c r="O112" s="22">
        <v>26400</v>
      </c>
      <c r="P112" s="6" t="s">
        <v>35</v>
      </c>
      <c r="Q112" s="46" t="s">
        <v>124</v>
      </c>
      <c r="R112" s="66" t="s">
        <v>158</v>
      </c>
      <c r="S112" s="207">
        <v>120307</v>
      </c>
    </row>
    <row r="113" spans="2:19" ht="39" hidden="1" customHeight="1">
      <c r="D113" s="20">
        <v>800.75</v>
      </c>
      <c r="F113" s="20"/>
      <c r="G113" s="100">
        <f t="shared" si="15"/>
        <v>4416000</v>
      </c>
      <c r="H113" s="203">
        <v>800</v>
      </c>
      <c r="I113" s="40">
        <f t="shared" si="16"/>
        <v>-270480</v>
      </c>
      <c r="J113" s="49">
        <f t="shared" si="17"/>
        <v>-49</v>
      </c>
      <c r="K113" s="6"/>
      <c r="L113" s="6"/>
      <c r="M113" s="191">
        <f t="shared" si="18"/>
        <v>4686480</v>
      </c>
      <c r="N113" s="4">
        <v>849</v>
      </c>
      <c r="O113" s="22">
        <v>5520</v>
      </c>
      <c r="P113" s="6" t="s">
        <v>35</v>
      </c>
      <c r="Q113" s="46" t="s">
        <v>52</v>
      </c>
      <c r="R113" s="66" t="s">
        <v>158</v>
      </c>
      <c r="S113" s="207" t="s">
        <v>50</v>
      </c>
    </row>
    <row r="114" spans="2:19" ht="39" hidden="1" customHeight="1">
      <c r="B114" s="259" t="s">
        <v>270</v>
      </c>
      <c r="C114" s="3" t="s">
        <v>296</v>
      </c>
      <c r="D114" s="110"/>
      <c r="F114" s="110"/>
      <c r="G114" s="100">
        <f t="shared" si="15"/>
        <v>12172000</v>
      </c>
      <c r="H114" s="1">
        <f>2150*250+223250</f>
        <v>760750</v>
      </c>
      <c r="I114" s="40">
        <f t="shared" si="16"/>
        <v>12172000</v>
      </c>
      <c r="J114" s="49">
        <f t="shared" si="17"/>
        <v>760750</v>
      </c>
      <c r="K114" s="6"/>
      <c r="L114" s="6"/>
      <c r="M114" s="191">
        <f t="shared" si="18"/>
        <v>0</v>
      </c>
      <c r="N114" s="4"/>
      <c r="O114" s="22">
        <v>16</v>
      </c>
      <c r="P114" s="6" t="s">
        <v>48</v>
      </c>
      <c r="Q114" s="46" t="s">
        <v>162</v>
      </c>
      <c r="R114" s="66" t="s">
        <v>158</v>
      </c>
      <c r="S114" s="207">
        <v>120701</v>
      </c>
    </row>
    <row r="115" spans="2:19" ht="39" hidden="1" customHeight="1">
      <c r="D115" s="110">
        <v>413319.5</v>
      </c>
      <c r="F115" s="110"/>
      <c r="G115" s="100">
        <f t="shared" si="15"/>
        <v>13226208</v>
      </c>
      <c r="H115" s="1">
        <v>413319</v>
      </c>
      <c r="I115" s="40">
        <f t="shared" si="16"/>
        <v>-3653792</v>
      </c>
      <c r="J115" s="49">
        <f t="shared" si="17"/>
        <v>-114181</v>
      </c>
      <c r="K115" s="6"/>
      <c r="L115" s="6"/>
      <c r="M115" s="191">
        <f t="shared" si="18"/>
        <v>16880000</v>
      </c>
      <c r="N115" s="4">
        <v>527500</v>
      </c>
      <c r="O115" s="22">
        <v>32</v>
      </c>
      <c r="P115" s="6" t="s">
        <v>48</v>
      </c>
      <c r="Q115" s="45" t="s">
        <v>235</v>
      </c>
      <c r="R115" s="66" t="s">
        <v>158</v>
      </c>
      <c r="S115" s="34" t="s">
        <v>234</v>
      </c>
    </row>
    <row r="116" spans="2:19" ht="39" hidden="1" customHeight="1">
      <c r="D116" s="110">
        <v>11000</v>
      </c>
      <c r="F116" s="110"/>
      <c r="G116" s="100">
        <f t="shared" si="15"/>
        <v>6545000</v>
      </c>
      <c r="H116" s="1">
        <v>11000</v>
      </c>
      <c r="I116" s="40">
        <f t="shared" si="16"/>
        <v>6545000</v>
      </c>
      <c r="J116" s="49">
        <f t="shared" si="17"/>
        <v>11000</v>
      </c>
      <c r="K116" s="6"/>
      <c r="L116" s="6"/>
      <c r="M116" s="191">
        <f t="shared" si="18"/>
        <v>0</v>
      </c>
      <c r="N116" s="4"/>
      <c r="O116" s="169">
        <v>595</v>
      </c>
      <c r="P116" s="166" t="s">
        <v>204</v>
      </c>
      <c r="Q116" s="167" t="s">
        <v>205</v>
      </c>
      <c r="R116" s="66" t="s">
        <v>158</v>
      </c>
      <c r="S116" s="207">
        <v>120703</v>
      </c>
    </row>
    <row r="117" spans="2:19" ht="39" hidden="1" customHeight="1">
      <c r="B117" s="259" t="s">
        <v>271</v>
      </c>
      <c r="C117" s="3" t="s">
        <v>297</v>
      </c>
      <c r="D117" s="57">
        <v>17156.169999999998</v>
      </c>
      <c r="F117" s="57"/>
      <c r="G117" s="100">
        <f t="shared" si="15"/>
        <v>100991020</v>
      </c>
      <c r="H117" s="58">
        <f>17156+2150*14+893*14</f>
        <v>59758</v>
      </c>
      <c r="I117" s="40">
        <f t="shared" si="16"/>
        <v>62413390</v>
      </c>
      <c r="J117" s="49">
        <f t="shared" si="17"/>
        <v>36931</v>
      </c>
      <c r="K117" s="7"/>
      <c r="L117" s="59"/>
      <c r="M117" s="191">
        <f t="shared" si="18"/>
        <v>38577630</v>
      </c>
      <c r="N117" s="168">
        <v>22827</v>
      </c>
      <c r="O117" s="60">
        <v>1690</v>
      </c>
      <c r="P117" s="4" t="s">
        <v>44</v>
      </c>
      <c r="Q117" s="74" t="s">
        <v>163</v>
      </c>
      <c r="R117" s="66" t="s">
        <v>158</v>
      </c>
      <c r="S117" s="213">
        <v>120801</v>
      </c>
    </row>
    <row r="118" spans="2:19" ht="39" hidden="1" customHeight="1">
      <c r="B118" s="259" t="s">
        <v>272</v>
      </c>
      <c r="C118" s="3" t="s">
        <v>298</v>
      </c>
      <c r="D118" s="57">
        <v>19358.900000000001</v>
      </c>
      <c r="F118" s="57"/>
      <c r="G118" s="100">
        <f t="shared" si="15"/>
        <v>53861780</v>
      </c>
      <c r="H118" s="58">
        <f>19358+2150*1.3*9+10448</f>
        <v>54961</v>
      </c>
      <c r="I118" s="40">
        <f t="shared" si="16"/>
        <v>32781980</v>
      </c>
      <c r="J118" s="49">
        <f t="shared" si="17"/>
        <v>33451</v>
      </c>
      <c r="K118" s="7"/>
      <c r="L118" s="59"/>
      <c r="M118" s="191">
        <f t="shared" si="18"/>
        <v>21079800</v>
      </c>
      <c r="N118" s="73">
        <v>21510</v>
      </c>
      <c r="O118" s="60">
        <v>980</v>
      </c>
      <c r="P118" s="4" t="s">
        <v>44</v>
      </c>
      <c r="Q118" s="74" t="s">
        <v>164</v>
      </c>
      <c r="R118" s="66" t="s">
        <v>158</v>
      </c>
      <c r="S118" s="213">
        <v>121001</v>
      </c>
    </row>
    <row r="119" spans="2:19" ht="39" hidden="1" customHeight="1">
      <c r="B119" s="259" t="s">
        <v>273</v>
      </c>
      <c r="C119" s="266" t="s">
        <v>299</v>
      </c>
      <c r="D119" s="57">
        <v>64529.75</v>
      </c>
      <c r="F119" s="57"/>
      <c r="G119" s="100">
        <f t="shared" si="15"/>
        <v>155725100</v>
      </c>
      <c r="H119" s="58">
        <f>34827+2150*1.3*30+64529</f>
        <v>183206</v>
      </c>
      <c r="I119" s="40">
        <f t="shared" si="16"/>
        <v>94780100</v>
      </c>
      <c r="J119" s="49">
        <f t="shared" si="17"/>
        <v>111506</v>
      </c>
      <c r="K119" s="7"/>
      <c r="L119" s="59"/>
      <c r="M119" s="191">
        <f t="shared" si="18"/>
        <v>60945000</v>
      </c>
      <c r="N119" s="73">
        <v>71700</v>
      </c>
      <c r="O119" s="60">
        <v>850</v>
      </c>
      <c r="P119" s="4" t="s">
        <v>44</v>
      </c>
      <c r="Q119" s="74" t="s">
        <v>165</v>
      </c>
      <c r="R119" s="66" t="s">
        <v>158</v>
      </c>
      <c r="S119" s="213">
        <v>121002</v>
      </c>
    </row>
    <row r="120" spans="2:19" ht="39" hidden="1" customHeight="1" thickBot="1">
      <c r="D120" s="21"/>
      <c r="F120" s="21"/>
      <c r="G120" s="397">
        <f>SUM(G103:G119)</f>
        <v>1690321608</v>
      </c>
      <c r="H120" s="398"/>
      <c r="I120" s="402">
        <f>SUM(I103:I119)</f>
        <v>974387198</v>
      </c>
      <c r="J120" s="402"/>
      <c r="K120" s="400">
        <f>SUM(K104:K116)</f>
        <v>0</v>
      </c>
      <c r="L120" s="400"/>
      <c r="M120" s="400">
        <f>SUM(M103:M119)</f>
        <v>715934410</v>
      </c>
      <c r="N120" s="400"/>
      <c r="O120" s="39"/>
      <c r="P120" s="115"/>
      <c r="Q120" s="115" t="s">
        <v>11</v>
      </c>
      <c r="R120" s="67"/>
      <c r="S120" s="209"/>
    </row>
    <row r="121" spans="2:19" ht="49.5" hidden="1" customHeight="1" thickBot="1">
      <c r="D121" s="13"/>
      <c r="F121" s="13"/>
      <c r="G121" s="99"/>
      <c r="H121" s="37"/>
      <c r="I121" s="50"/>
      <c r="J121" s="50"/>
      <c r="K121" s="44"/>
      <c r="L121" s="44"/>
      <c r="M121" s="99"/>
      <c r="N121" s="37"/>
      <c r="O121" s="24"/>
      <c r="P121" s="17"/>
      <c r="Q121" s="17"/>
      <c r="R121" s="17"/>
      <c r="S121" s="210"/>
    </row>
    <row r="122" spans="2:19" ht="25.5" hidden="1" customHeight="1">
      <c r="D122" s="77"/>
      <c r="F122" s="173"/>
      <c r="G122" s="382" t="s">
        <v>300</v>
      </c>
      <c r="H122" s="382"/>
      <c r="I122" s="382" t="s">
        <v>145</v>
      </c>
      <c r="J122" s="382"/>
      <c r="K122" s="78"/>
      <c r="L122" s="78"/>
      <c r="M122" s="199"/>
      <c r="N122" s="78"/>
      <c r="O122" s="79"/>
      <c r="P122" s="78"/>
      <c r="Q122" s="80" t="s">
        <v>171</v>
      </c>
      <c r="R122" s="41"/>
      <c r="S122" s="219"/>
    </row>
    <row r="123" spans="2:19" ht="25.5" hidden="1" customHeight="1">
      <c r="D123" s="81"/>
      <c r="F123" s="174"/>
      <c r="G123" s="96"/>
      <c r="H123" s="82"/>
      <c r="I123" s="83"/>
      <c r="J123" s="143" t="s">
        <v>146</v>
      </c>
      <c r="K123" s="144"/>
      <c r="L123" s="144"/>
      <c r="M123" s="200"/>
      <c r="N123" s="144"/>
      <c r="O123" s="135"/>
      <c r="P123" s="144"/>
      <c r="Q123" s="84" t="s">
        <v>292</v>
      </c>
      <c r="R123" s="56"/>
      <c r="S123" s="175"/>
    </row>
    <row r="124" spans="2:19" ht="25.5" hidden="1" customHeight="1" thickBot="1">
      <c r="D124" s="85"/>
      <c r="F124" s="85"/>
      <c r="G124" s="145"/>
      <c r="H124" s="136"/>
      <c r="I124" s="146"/>
      <c r="J124" s="146"/>
      <c r="K124" s="136"/>
      <c r="L124" s="136"/>
      <c r="M124" s="202" t="s">
        <v>183</v>
      </c>
      <c r="N124" s="136"/>
      <c r="O124" s="136"/>
      <c r="P124" s="136"/>
      <c r="Q124" s="86" t="s">
        <v>207</v>
      </c>
      <c r="R124" s="42"/>
      <c r="S124" s="205"/>
    </row>
    <row r="125" spans="2:19" ht="30" hidden="1" customHeight="1">
      <c r="D125" s="385" t="s">
        <v>144</v>
      </c>
      <c r="F125" s="385" t="s">
        <v>144</v>
      </c>
      <c r="G125" s="406" t="s">
        <v>63</v>
      </c>
      <c r="H125" s="406"/>
      <c r="I125" s="409" t="s">
        <v>170</v>
      </c>
      <c r="J125" s="409"/>
      <c r="K125" s="401" t="s">
        <v>2</v>
      </c>
      <c r="L125" s="401"/>
      <c r="M125" s="401" t="s">
        <v>169</v>
      </c>
      <c r="N125" s="401"/>
      <c r="O125" s="426" t="s">
        <v>139</v>
      </c>
      <c r="P125" s="401" t="s">
        <v>1</v>
      </c>
      <c r="Q125" s="401" t="s">
        <v>138</v>
      </c>
      <c r="R125" s="62"/>
      <c r="S125" s="424" t="s">
        <v>0</v>
      </c>
    </row>
    <row r="126" spans="2:19" ht="30" hidden="1" customHeight="1">
      <c r="D126" s="386"/>
      <c r="F126" s="386"/>
      <c r="G126" s="97" t="s">
        <v>143</v>
      </c>
      <c r="H126" s="49" t="s">
        <v>142</v>
      </c>
      <c r="I126" s="49" t="s">
        <v>143</v>
      </c>
      <c r="J126" s="49" t="s">
        <v>142</v>
      </c>
      <c r="K126" s="1" t="s">
        <v>4</v>
      </c>
      <c r="L126" s="1" t="s">
        <v>3</v>
      </c>
      <c r="M126" s="100" t="s">
        <v>141</v>
      </c>
      <c r="N126" s="1" t="s">
        <v>140</v>
      </c>
      <c r="O126" s="427"/>
      <c r="P126" s="422"/>
      <c r="Q126" s="422"/>
      <c r="R126" s="2"/>
      <c r="S126" s="425"/>
    </row>
    <row r="127" spans="2:19" ht="35.25" hidden="1" customHeight="1">
      <c r="D127" s="5"/>
      <c r="F127" s="5"/>
      <c r="G127" s="100"/>
      <c r="H127" s="1"/>
      <c r="I127" s="40">
        <f>J127*O127</f>
        <v>-103292000</v>
      </c>
      <c r="J127" s="49">
        <f>H127-N127</f>
        <v>-136</v>
      </c>
      <c r="K127" s="6"/>
      <c r="L127" s="6"/>
      <c r="M127" s="191">
        <f>N127*O127</f>
        <v>103292000</v>
      </c>
      <c r="N127" s="4">
        <v>136</v>
      </c>
      <c r="O127" s="22">
        <v>759500</v>
      </c>
      <c r="P127" s="6" t="s">
        <v>35</v>
      </c>
      <c r="Q127" s="46" t="s">
        <v>110</v>
      </c>
      <c r="R127" s="46" t="s">
        <v>158</v>
      </c>
      <c r="S127" s="207">
        <v>130804</v>
      </c>
    </row>
    <row r="128" spans="2:19" ht="35.25" hidden="1" customHeight="1">
      <c r="D128" s="5"/>
      <c r="F128" s="5"/>
      <c r="G128" s="100"/>
      <c r="H128" s="1"/>
      <c r="I128" s="40">
        <f>J128*O128</f>
        <v>-217550000</v>
      </c>
      <c r="J128" s="49">
        <f>H128-N128</f>
        <v>-380</v>
      </c>
      <c r="K128" s="6"/>
      <c r="L128" s="6"/>
      <c r="M128" s="191">
        <f>N128*O128</f>
        <v>217550000</v>
      </c>
      <c r="N128" s="4">
        <v>380</v>
      </c>
      <c r="O128" s="22">
        <v>572500</v>
      </c>
      <c r="P128" s="6" t="s">
        <v>35</v>
      </c>
      <c r="Q128" s="45" t="s">
        <v>237</v>
      </c>
      <c r="R128" s="46" t="s">
        <v>158</v>
      </c>
      <c r="S128" s="34" t="s">
        <v>236</v>
      </c>
    </row>
    <row r="129" spans="2:19" ht="35.25" hidden="1" customHeight="1">
      <c r="D129" s="5"/>
      <c r="F129" s="5"/>
      <c r="G129" s="100">
        <f>H129*O129</f>
        <v>7986000</v>
      </c>
      <c r="H129" s="1">
        <v>44</v>
      </c>
      <c r="I129" s="40">
        <f>J129*O129</f>
        <v>7986000</v>
      </c>
      <c r="J129" s="49">
        <f>H129-N129</f>
        <v>44</v>
      </c>
      <c r="K129" s="6"/>
      <c r="L129" s="6"/>
      <c r="M129" s="191">
        <f>N129*O129</f>
        <v>0</v>
      </c>
      <c r="N129" s="4"/>
      <c r="O129" s="22">
        <v>181500</v>
      </c>
      <c r="P129" s="6" t="s">
        <v>155</v>
      </c>
      <c r="Q129" s="46" t="s">
        <v>208</v>
      </c>
      <c r="R129" s="46" t="s">
        <v>158</v>
      </c>
      <c r="S129" s="207">
        <v>131109</v>
      </c>
    </row>
    <row r="130" spans="2:19" ht="27" hidden="1" customHeight="1" thickBot="1">
      <c r="D130" s="21"/>
      <c r="F130" s="21"/>
      <c r="G130" s="397">
        <f>SUM(G127:G129)</f>
        <v>7986000</v>
      </c>
      <c r="H130" s="398"/>
      <c r="I130" s="402">
        <f>SUM(I127:I129)</f>
        <v>-312856000</v>
      </c>
      <c r="J130" s="402"/>
      <c r="K130" s="400">
        <f>SUM(K127:K127)</f>
        <v>0</v>
      </c>
      <c r="L130" s="400"/>
      <c r="M130" s="400">
        <f>SUM(M127:M129)</f>
        <v>320842000</v>
      </c>
      <c r="N130" s="400"/>
      <c r="O130" s="39"/>
      <c r="P130" s="115"/>
      <c r="Q130" s="115" t="s">
        <v>111</v>
      </c>
      <c r="R130" s="15"/>
      <c r="S130" s="209"/>
    </row>
    <row r="131" spans="2:19" ht="25.5" hidden="1" customHeight="1" thickBot="1">
      <c r="D131" s="85"/>
      <c r="F131" s="85"/>
      <c r="G131" s="145"/>
      <c r="H131" s="136"/>
      <c r="I131" s="146"/>
      <c r="J131" s="146"/>
      <c r="K131" s="136"/>
      <c r="L131" s="136"/>
      <c r="M131" s="202" t="s">
        <v>183</v>
      </c>
      <c r="N131" s="136"/>
      <c r="O131" s="136"/>
      <c r="P131" s="136"/>
      <c r="Q131" s="86" t="s">
        <v>209</v>
      </c>
      <c r="R131" s="42"/>
      <c r="S131" s="205"/>
    </row>
    <row r="132" spans="2:19" ht="43.5" hidden="1" customHeight="1">
      <c r="D132" s="20">
        <v>7280</v>
      </c>
      <c r="F132" s="20"/>
      <c r="G132" s="100">
        <f t="shared" ref="G132:G142" si="19">H132*O132</f>
        <v>531440000</v>
      </c>
      <c r="H132" s="1">
        <v>7280</v>
      </c>
      <c r="I132" s="40">
        <f>J132*O132</f>
        <v>-577941000</v>
      </c>
      <c r="J132" s="49">
        <f>H132-N132</f>
        <v>-7917</v>
      </c>
      <c r="K132" s="6"/>
      <c r="L132" s="6"/>
      <c r="M132" s="113">
        <f t="shared" ref="M132:M142" si="20">N132*O132</f>
        <v>1109381000</v>
      </c>
      <c r="N132" s="4">
        <v>15197</v>
      </c>
      <c r="O132" s="22">
        <v>73000</v>
      </c>
      <c r="P132" s="6" t="s">
        <v>35</v>
      </c>
      <c r="Q132" s="45" t="s">
        <v>239</v>
      </c>
      <c r="R132" s="65" t="s">
        <v>158</v>
      </c>
      <c r="S132" s="34" t="s">
        <v>238</v>
      </c>
    </row>
    <row r="133" spans="2:19" ht="43.5" hidden="1" customHeight="1">
      <c r="D133" s="20"/>
      <c r="F133" s="20"/>
      <c r="G133" s="100">
        <f t="shared" si="19"/>
        <v>0</v>
      </c>
      <c r="H133" s="1"/>
      <c r="I133" s="40">
        <f t="shared" ref="I133:I142" si="21">J133*O133</f>
        <v>0</v>
      </c>
      <c r="J133" s="49">
        <f t="shared" ref="J133:J142" si="22">H133-N133</f>
        <v>0</v>
      </c>
      <c r="K133" s="6"/>
      <c r="L133" s="6"/>
      <c r="M133" s="100">
        <f t="shared" si="20"/>
        <v>0</v>
      </c>
      <c r="N133" s="4"/>
      <c r="O133" s="22">
        <v>6170</v>
      </c>
      <c r="P133" s="6" t="s">
        <v>35</v>
      </c>
      <c r="Q133" s="45" t="s">
        <v>166</v>
      </c>
      <c r="R133" s="65" t="s">
        <v>158</v>
      </c>
      <c r="S133" s="207">
        <v>140701</v>
      </c>
    </row>
    <row r="134" spans="2:19" ht="43.5" hidden="1" customHeight="1">
      <c r="D134" s="20"/>
      <c r="F134" s="20"/>
      <c r="G134" s="100">
        <f t="shared" si="19"/>
        <v>1064000</v>
      </c>
      <c r="H134" s="1">
        <v>140</v>
      </c>
      <c r="I134" s="40">
        <f t="shared" si="21"/>
        <v>1064000</v>
      </c>
      <c r="J134" s="49">
        <f t="shared" si="22"/>
        <v>140</v>
      </c>
      <c r="K134" s="6"/>
      <c r="L134" s="6"/>
      <c r="M134" s="100">
        <f t="shared" si="20"/>
        <v>0</v>
      </c>
      <c r="N134" s="4"/>
      <c r="O134" s="22">
        <v>7600</v>
      </c>
      <c r="P134" s="6" t="s">
        <v>35</v>
      </c>
      <c r="Q134" s="45" t="s">
        <v>136</v>
      </c>
      <c r="R134" s="65" t="s">
        <v>158</v>
      </c>
      <c r="S134" s="207">
        <v>140704</v>
      </c>
    </row>
    <row r="135" spans="2:19" ht="43.5" hidden="1" customHeight="1">
      <c r="D135" s="20"/>
      <c r="F135" s="20"/>
      <c r="G135" s="100">
        <f t="shared" si="19"/>
        <v>455000</v>
      </c>
      <c r="H135" s="1">
        <v>140</v>
      </c>
      <c r="I135" s="40">
        <f t="shared" si="21"/>
        <v>455000</v>
      </c>
      <c r="J135" s="49">
        <f t="shared" si="22"/>
        <v>140</v>
      </c>
      <c r="K135" s="6"/>
      <c r="L135" s="6"/>
      <c r="M135" s="100">
        <f t="shared" si="20"/>
        <v>0</v>
      </c>
      <c r="N135" s="4"/>
      <c r="O135" s="22">
        <v>3250</v>
      </c>
      <c r="P135" s="6" t="s">
        <v>35</v>
      </c>
      <c r="Q135" s="45" t="s">
        <v>167</v>
      </c>
      <c r="R135" s="65" t="s">
        <v>158</v>
      </c>
      <c r="S135" s="207">
        <v>140801</v>
      </c>
    </row>
    <row r="136" spans="2:19" ht="43.5" hidden="1" customHeight="1">
      <c r="B136" s="259">
        <v>950</v>
      </c>
      <c r="D136" s="20"/>
      <c r="F136" s="20"/>
      <c r="G136" s="100">
        <f t="shared" si="19"/>
        <v>72485000</v>
      </c>
      <c r="H136" s="1">
        <v>950</v>
      </c>
      <c r="I136" s="40">
        <f t="shared" si="21"/>
        <v>72485000</v>
      </c>
      <c r="J136" s="49">
        <f t="shared" si="22"/>
        <v>950</v>
      </c>
      <c r="K136" s="6"/>
      <c r="L136" s="6"/>
      <c r="M136" s="100">
        <f t="shared" si="20"/>
        <v>0</v>
      </c>
      <c r="N136" s="4"/>
      <c r="O136" s="22">
        <v>76300</v>
      </c>
      <c r="P136" s="6" t="s">
        <v>35</v>
      </c>
      <c r="Q136" s="45" t="s">
        <v>275</v>
      </c>
      <c r="R136" s="65" t="s">
        <v>158</v>
      </c>
      <c r="S136" s="207" t="s">
        <v>274</v>
      </c>
    </row>
    <row r="137" spans="2:19" ht="43.5" hidden="1" customHeight="1">
      <c r="D137" s="20"/>
      <c r="F137" s="20"/>
      <c r="G137" s="100">
        <f t="shared" si="19"/>
        <v>0</v>
      </c>
      <c r="H137" s="1"/>
      <c r="I137" s="40">
        <f t="shared" si="21"/>
        <v>0</v>
      </c>
      <c r="J137" s="49">
        <f t="shared" si="22"/>
        <v>0</v>
      </c>
      <c r="K137" s="6"/>
      <c r="L137" s="6"/>
      <c r="M137" s="100">
        <f t="shared" si="20"/>
        <v>0</v>
      </c>
      <c r="N137" s="4"/>
      <c r="O137" s="22">
        <v>9670</v>
      </c>
      <c r="P137" s="6" t="s">
        <v>35</v>
      </c>
      <c r="Q137" s="45" t="s">
        <v>137</v>
      </c>
      <c r="R137" s="65" t="s">
        <v>158</v>
      </c>
      <c r="S137" s="207">
        <v>141002</v>
      </c>
    </row>
    <row r="138" spans="2:19" ht="43.5" hidden="1" customHeight="1">
      <c r="D138" s="20">
        <v>400</v>
      </c>
      <c r="F138" s="20"/>
      <c r="G138" s="100">
        <f t="shared" si="19"/>
        <v>13800000</v>
      </c>
      <c r="H138" s="1">
        <v>400</v>
      </c>
      <c r="I138" s="40">
        <f t="shared" si="21"/>
        <v>13800000</v>
      </c>
      <c r="J138" s="49">
        <f t="shared" si="22"/>
        <v>400</v>
      </c>
      <c r="K138" s="6"/>
      <c r="L138" s="6"/>
      <c r="M138" s="100">
        <f t="shared" si="20"/>
        <v>0</v>
      </c>
      <c r="N138" s="4"/>
      <c r="O138" s="22">
        <v>34500</v>
      </c>
      <c r="P138" s="6" t="s">
        <v>35</v>
      </c>
      <c r="Q138" s="45" t="s">
        <v>253</v>
      </c>
      <c r="R138" s="65" t="s">
        <v>158</v>
      </c>
      <c r="S138" s="34" t="s">
        <v>251</v>
      </c>
    </row>
    <row r="139" spans="2:19" ht="43.5" hidden="1" customHeight="1">
      <c r="D139" s="20">
        <v>600</v>
      </c>
      <c r="F139" s="20"/>
      <c r="G139" s="100">
        <f t="shared" si="19"/>
        <v>17160000</v>
      </c>
      <c r="H139" s="1">
        <v>600</v>
      </c>
      <c r="I139" s="40">
        <f t="shared" si="21"/>
        <v>17160000</v>
      </c>
      <c r="J139" s="49">
        <f t="shared" si="22"/>
        <v>600</v>
      </c>
      <c r="K139" s="6"/>
      <c r="L139" s="6"/>
      <c r="M139" s="100">
        <f t="shared" si="20"/>
        <v>0</v>
      </c>
      <c r="N139" s="4"/>
      <c r="O139" s="22">
        <v>28600</v>
      </c>
      <c r="P139" s="6" t="s">
        <v>35</v>
      </c>
      <c r="Q139" s="45" t="s">
        <v>254</v>
      </c>
      <c r="R139" s="65" t="s">
        <v>158</v>
      </c>
      <c r="S139" s="34" t="s">
        <v>252</v>
      </c>
    </row>
    <row r="140" spans="2:19" ht="32.25" hidden="1" customHeight="1">
      <c r="B140" s="259" t="s">
        <v>276</v>
      </c>
      <c r="D140" s="20">
        <v>92520</v>
      </c>
      <c r="F140" s="20"/>
      <c r="G140" s="100">
        <f t="shared" si="19"/>
        <v>99048600</v>
      </c>
      <c r="H140" s="1">
        <f>92520+9*950</f>
        <v>101070</v>
      </c>
      <c r="I140" s="40">
        <f t="shared" si="21"/>
        <v>-34988940</v>
      </c>
      <c r="J140" s="49">
        <f t="shared" si="22"/>
        <v>-35703</v>
      </c>
      <c r="K140" s="6"/>
      <c r="L140" s="6"/>
      <c r="M140" s="100">
        <f t="shared" si="20"/>
        <v>134037540</v>
      </c>
      <c r="N140" s="4">
        <v>136773</v>
      </c>
      <c r="O140" s="104">
        <v>980</v>
      </c>
      <c r="P140" s="4" t="s">
        <v>44</v>
      </c>
      <c r="Q140" s="45" t="s">
        <v>68</v>
      </c>
      <c r="R140" s="65" t="s">
        <v>158</v>
      </c>
      <c r="S140" s="207">
        <v>141901</v>
      </c>
    </row>
    <row r="141" spans="2:19" ht="32.25" hidden="1" customHeight="1">
      <c r="B141" s="259" t="s">
        <v>277</v>
      </c>
      <c r="D141" s="20">
        <v>205600</v>
      </c>
      <c r="F141" s="20"/>
      <c r="G141" s="100">
        <f t="shared" si="19"/>
        <v>201017000</v>
      </c>
      <c r="H141" s="1">
        <f>205600+20*950</f>
        <v>224600</v>
      </c>
      <c r="I141" s="40">
        <f t="shared" si="21"/>
        <v>-71009300</v>
      </c>
      <c r="J141" s="49">
        <f t="shared" si="22"/>
        <v>-79340</v>
      </c>
      <c r="K141" s="6"/>
      <c r="L141" s="6"/>
      <c r="M141" s="100">
        <f t="shared" si="20"/>
        <v>272026300</v>
      </c>
      <c r="N141" s="4">
        <v>303940</v>
      </c>
      <c r="O141" s="22">
        <v>895</v>
      </c>
      <c r="P141" s="4" t="s">
        <v>44</v>
      </c>
      <c r="Q141" s="45" t="s">
        <v>242</v>
      </c>
      <c r="R141" s="65" t="s">
        <v>158</v>
      </c>
      <c r="S141" s="207">
        <v>141902</v>
      </c>
    </row>
    <row r="142" spans="2:19" ht="32.25" hidden="1" customHeight="1">
      <c r="B142" s="259" t="s">
        <v>278</v>
      </c>
      <c r="D142" s="57">
        <v>102800</v>
      </c>
      <c r="F142" s="57"/>
      <c r="G142" s="100">
        <f t="shared" si="19"/>
        <v>80294500</v>
      </c>
      <c r="H142" s="224">
        <f>102800+10*950</f>
        <v>112300</v>
      </c>
      <c r="I142" s="40">
        <f t="shared" si="21"/>
        <v>-28364050</v>
      </c>
      <c r="J142" s="49">
        <f t="shared" si="22"/>
        <v>-39670</v>
      </c>
      <c r="K142" s="7"/>
      <c r="L142" s="7"/>
      <c r="M142" s="100">
        <f t="shared" si="20"/>
        <v>108658550</v>
      </c>
      <c r="N142" s="59">
        <v>151970</v>
      </c>
      <c r="O142" s="60">
        <v>715</v>
      </c>
      <c r="P142" s="4" t="s">
        <v>44</v>
      </c>
      <c r="Q142" s="247" t="s">
        <v>241</v>
      </c>
      <c r="R142" s="65" t="s">
        <v>158</v>
      </c>
      <c r="S142" s="248" t="s">
        <v>240</v>
      </c>
    </row>
    <row r="143" spans="2:19" ht="29.25" hidden="1" customHeight="1" thickBot="1">
      <c r="D143" s="21"/>
      <c r="F143" s="21"/>
      <c r="G143" s="397">
        <f>SUM(G132:G142)</f>
        <v>1016764100</v>
      </c>
      <c r="H143" s="398"/>
      <c r="I143" s="432">
        <f>SUM(I132:I142)</f>
        <v>-607339290</v>
      </c>
      <c r="J143" s="432"/>
      <c r="K143" s="433">
        <f>SUM(K132:K141)</f>
        <v>0</v>
      </c>
      <c r="L143" s="433"/>
      <c r="M143" s="400">
        <f>SUM(M132:M142)</f>
        <v>1624103390</v>
      </c>
      <c r="N143" s="400"/>
      <c r="O143" s="400"/>
      <c r="P143" s="400"/>
      <c r="Q143" s="170" t="s">
        <v>13</v>
      </c>
      <c r="R143" s="68"/>
      <c r="S143" s="217"/>
    </row>
    <row r="144" spans="2:19" ht="49.5" hidden="1" customHeight="1">
      <c r="D144" s="13"/>
      <c r="F144" s="13"/>
      <c r="G144" s="99"/>
      <c r="H144" s="11"/>
      <c r="I144" s="54"/>
      <c r="J144" s="54"/>
      <c r="K144" s="87"/>
      <c r="L144" s="87"/>
      <c r="M144" s="99"/>
      <c r="N144" s="37"/>
      <c r="O144" s="37"/>
      <c r="P144" s="37"/>
      <c r="Q144" s="88"/>
      <c r="R144" s="88"/>
      <c r="S144" s="218"/>
    </row>
    <row r="145" spans="2:19" ht="49.5" hidden="1" customHeight="1" thickBot="1">
      <c r="D145" s="13"/>
      <c r="F145" s="13"/>
      <c r="G145" s="99"/>
      <c r="H145" s="11"/>
      <c r="I145" s="54"/>
      <c r="J145" s="54"/>
      <c r="K145" s="87"/>
      <c r="L145" s="87"/>
      <c r="M145" s="99"/>
      <c r="N145" s="37"/>
      <c r="O145" s="37"/>
      <c r="P145" s="37"/>
      <c r="Q145" s="88"/>
      <c r="R145" s="88"/>
      <c r="S145" s="218"/>
    </row>
    <row r="146" spans="2:19" ht="25.5" hidden="1" customHeight="1">
      <c r="D146" s="77"/>
      <c r="F146" s="173"/>
      <c r="G146" s="382" t="s">
        <v>300</v>
      </c>
      <c r="H146" s="382"/>
      <c r="I146" s="382" t="s">
        <v>145</v>
      </c>
      <c r="J146" s="382"/>
      <c r="K146" s="78"/>
      <c r="L146" s="78"/>
      <c r="M146" s="199"/>
      <c r="N146" s="78"/>
      <c r="O146" s="79"/>
      <c r="P146" s="78"/>
      <c r="Q146" s="80" t="s">
        <v>171</v>
      </c>
      <c r="R146" s="41"/>
      <c r="S146" s="219"/>
    </row>
    <row r="147" spans="2:19" ht="25.5" hidden="1" customHeight="1">
      <c r="D147" s="81"/>
      <c r="F147" s="174"/>
      <c r="G147" s="96"/>
      <c r="H147" s="82"/>
      <c r="I147" s="83"/>
      <c r="J147" s="143" t="s">
        <v>146</v>
      </c>
      <c r="K147" s="144"/>
      <c r="L147" s="144"/>
      <c r="M147" s="200"/>
      <c r="N147" s="144"/>
      <c r="O147" s="135"/>
      <c r="P147" s="144"/>
      <c r="Q147" s="84" t="s">
        <v>292</v>
      </c>
      <c r="R147" s="56"/>
      <c r="S147" s="175"/>
    </row>
    <row r="148" spans="2:19" ht="25.5" hidden="1" customHeight="1" thickBot="1">
      <c r="D148" s="85"/>
      <c r="F148" s="85"/>
      <c r="G148" s="145"/>
      <c r="H148" s="136"/>
      <c r="I148" s="146"/>
      <c r="J148" s="146"/>
      <c r="K148" s="136"/>
      <c r="L148" s="136"/>
      <c r="M148" s="202" t="s">
        <v>183</v>
      </c>
      <c r="N148" s="136"/>
      <c r="O148" s="136"/>
      <c r="P148" s="136"/>
      <c r="Q148" s="86" t="s">
        <v>210</v>
      </c>
      <c r="R148" s="42"/>
      <c r="S148" s="205"/>
    </row>
    <row r="149" spans="2:19" ht="34.5" hidden="1" customHeight="1">
      <c r="C149" s="3" t="s">
        <v>291</v>
      </c>
      <c r="D149" s="20"/>
      <c r="F149" s="20"/>
      <c r="G149" s="100">
        <f>H149*O149</f>
        <v>6300000</v>
      </c>
      <c r="H149" s="1">
        <v>700</v>
      </c>
      <c r="I149" s="40">
        <f>J149*O149</f>
        <v>6300000</v>
      </c>
      <c r="J149" s="49">
        <f>H149-N149</f>
        <v>700</v>
      </c>
      <c r="K149" s="4"/>
      <c r="L149" s="4"/>
      <c r="M149" s="191"/>
      <c r="N149" s="4"/>
      <c r="O149" s="22">
        <v>9000</v>
      </c>
      <c r="P149" s="4" t="s">
        <v>36</v>
      </c>
      <c r="Q149" s="4" t="s">
        <v>98</v>
      </c>
      <c r="R149" s="64" t="s">
        <v>158</v>
      </c>
      <c r="S149" s="32" t="s">
        <v>97</v>
      </c>
    </row>
    <row r="150" spans="2:19" ht="34.5" hidden="1" customHeight="1">
      <c r="D150" s="20"/>
      <c r="F150" s="20"/>
      <c r="G150" s="100"/>
      <c r="H150" s="1"/>
      <c r="I150" s="40">
        <f>J150*O150</f>
        <v>0</v>
      </c>
      <c r="J150" s="49">
        <f>H150-N150</f>
        <v>0</v>
      </c>
      <c r="K150" s="4"/>
      <c r="L150" s="4"/>
      <c r="M150" s="191"/>
      <c r="N150" s="4"/>
      <c r="O150" s="22">
        <v>43200</v>
      </c>
      <c r="P150" s="4" t="s">
        <v>36</v>
      </c>
      <c r="Q150" s="4" t="s">
        <v>106</v>
      </c>
      <c r="R150" s="64" t="s">
        <v>158</v>
      </c>
      <c r="S150" s="32" t="s">
        <v>105</v>
      </c>
    </row>
    <row r="151" spans="2:19" s="171" customFormat="1" ht="34.5" hidden="1" customHeight="1" thickBot="1">
      <c r="B151" s="260"/>
      <c r="C151" s="263"/>
      <c r="D151" s="131"/>
      <c r="F151" s="131"/>
      <c r="G151" s="397">
        <f>SUM(G149:G150)</f>
        <v>6300000</v>
      </c>
      <c r="H151" s="398"/>
      <c r="I151" s="399">
        <f>SUM(I149:I150)</f>
        <v>6300000</v>
      </c>
      <c r="J151" s="399"/>
      <c r="K151" s="411">
        <f>SUM(K149:K150)</f>
        <v>0</v>
      </c>
      <c r="L151" s="411"/>
      <c r="M151" s="411">
        <f>SUM(M149:M150)</f>
        <v>0</v>
      </c>
      <c r="N151" s="411"/>
      <c r="O151" s="133"/>
      <c r="P151" s="132"/>
      <c r="Q151" s="134" t="s">
        <v>60</v>
      </c>
      <c r="R151" s="172"/>
      <c r="S151" s="217"/>
    </row>
    <row r="152" spans="2:19" ht="32.25" hidden="1" customHeight="1">
      <c r="D152" s="177"/>
      <c r="F152" s="177"/>
      <c r="G152" s="103"/>
      <c r="H152" s="75"/>
      <c r="I152" s="40">
        <f>J152*O152</f>
        <v>0</v>
      </c>
      <c r="J152" s="49">
        <f>H152-N152</f>
        <v>0</v>
      </c>
      <c r="K152" s="75"/>
      <c r="L152" s="75"/>
      <c r="M152" s="191"/>
      <c r="N152" s="75"/>
      <c r="O152" s="90">
        <v>40700</v>
      </c>
      <c r="P152" s="4" t="s">
        <v>125</v>
      </c>
      <c r="Q152" s="71" t="s">
        <v>168</v>
      </c>
      <c r="R152" s="72" t="s">
        <v>158</v>
      </c>
      <c r="S152" s="214">
        <v>190103</v>
      </c>
    </row>
    <row r="153" spans="2:19" ht="32.25" hidden="1" customHeight="1">
      <c r="D153" s="177">
        <v>4369.33</v>
      </c>
      <c r="F153" s="177"/>
      <c r="G153" s="103">
        <f>H153*O153</f>
        <v>27087800</v>
      </c>
      <c r="H153" s="75">
        <v>4369</v>
      </c>
      <c r="I153" s="40">
        <f>J153*O153</f>
        <v>27087800</v>
      </c>
      <c r="J153" s="49">
        <f>H153-N153</f>
        <v>4369</v>
      </c>
      <c r="K153" s="75"/>
      <c r="L153" s="75"/>
      <c r="M153" s="191"/>
      <c r="N153" s="75"/>
      <c r="O153" s="90">
        <v>6200</v>
      </c>
      <c r="P153" s="4" t="s">
        <v>125</v>
      </c>
      <c r="Q153" s="71" t="s">
        <v>256</v>
      </c>
      <c r="R153" s="72" t="s">
        <v>158</v>
      </c>
      <c r="S153" s="212" t="s">
        <v>255</v>
      </c>
    </row>
    <row r="154" spans="2:19" ht="32.25" hidden="1" customHeight="1">
      <c r="B154" s="259">
        <v>450</v>
      </c>
      <c r="C154" s="3">
        <v>300</v>
      </c>
      <c r="D154" s="5">
        <v>348.75</v>
      </c>
      <c r="F154" s="5"/>
      <c r="G154" s="103">
        <f>H154*O154</f>
        <v>61048800</v>
      </c>
      <c r="H154" s="1">
        <f>348+300+450</f>
        <v>1098</v>
      </c>
      <c r="I154" s="40">
        <f>J154*O154</f>
        <v>61048800</v>
      </c>
      <c r="J154" s="49">
        <f>H154-N154</f>
        <v>1098</v>
      </c>
      <c r="K154" s="4"/>
      <c r="L154" s="4"/>
      <c r="M154" s="191"/>
      <c r="N154" s="4"/>
      <c r="O154" s="22">
        <v>55600</v>
      </c>
      <c r="P154" s="4" t="s">
        <v>108</v>
      </c>
      <c r="Q154" s="46" t="s">
        <v>150</v>
      </c>
      <c r="R154" s="72" t="s">
        <v>158</v>
      </c>
      <c r="S154" s="32" t="s">
        <v>149</v>
      </c>
    </row>
    <row r="155" spans="2:19" ht="32.25" hidden="1" customHeight="1">
      <c r="D155" s="57"/>
      <c r="F155" s="57"/>
      <c r="G155" s="103">
        <f>H155*O155</f>
        <v>10680000</v>
      </c>
      <c r="H155" s="1">
        <v>120</v>
      </c>
      <c r="I155" s="40">
        <f>J155*O155</f>
        <v>-7120000</v>
      </c>
      <c r="J155" s="49">
        <f>H155-N155</f>
        <v>-80</v>
      </c>
      <c r="K155" s="59"/>
      <c r="L155" s="59"/>
      <c r="M155" s="191">
        <f>N155*O155</f>
        <v>17800000</v>
      </c>
      <c r="N155" s="59">
        <v>200</v>
      </c>
      <c r="O155" s="60">
        <v>89000</v>
      </c>
      <c r="P155" s="59" t="s">
        <v>64</v>
      </c>
      <c r="Q155" s="247" t="s">
        <v>244</v>
      </c>
      <c r="R155" s="72" t="s">
        <v>159</v>
      </c>
      <c r="S155" s="76" t="s">
        <v>243</v>
      </c>
    </row>
    <row r="156" spans="2:19" s="178" customFormat="1" ht="32.25" hidden="1" customHeight="1" thickBot="1">
      <c r="B156" s="261"/>
      <c r="C156" s="264"/>
      <c r="D156" s="179"/>
      <c r="F156" s="179"/>
      <c r="G156" s="407">
        <f>SUM(G152:G155)</f>
        <v>98816600</v>
      </c>
      <c r="H156" s="408"/>
      <c r="I156" s="403">
        <f>SUM(I152:I155)</f>
        <v>81016600</v>
      </c>
      <c r="J156" s="403"/>
      <c r="K156" s="434" t="e">
        <f>SUM(#REF!)</f>
        <v>#REF!</v>
      </c>
      <c r="L156" s="434"/>
      <c r="M156" s="434">
        <f>SUM(M152:M155)</f>
        <v>17800000</v>
      </c>
      <c r="N156" s="434"/>
      <c r="O156" s="182"/>
      <c r="P156" s="181"/>
      <c r="Q156" s="183" t="s">
        <v>107</v>
      </c>
      <c r="R156" s="184"/>
      <c r="S156" s="221"/>
    </row>
    <row r="157" spans="2:19" ht="25.5" hidden="1" customHeight="1" thickBot="1">
      <c r="D157" s="85"/>
      <c r="F157" s="85"/>
      <c r="G157" s="145"/>
      <c r="H157" s="136"/>
      <c r="I157" s="146"/>
      <c r="J157" s="146"/>
      <c r="K157" s="136"/>
      <c r="L157" s="136"/>
      <c r="M157" s="202" t="s">
        <v>183</v>
      </c>
      <c r="N157" s="136"/>
      <c r="O157" s="136"/>
      <c r="P157" s="136"/>
      <c r="Q157" s="86" t="s">
        <v>211</v>
      </c>
      <c r="R157" s="42"/>
      <c r="S157" s="205"/>
    </row>
    <row r="158" spans="2:19" ht="33" hidden="1" customHeight="1">
      <c r="B158" s="265">
        <f>(C105+B105)*0.25*45</f>
        <v>34233.75</v>
      </c>
      <c r="D158" s="20">
        <v>32089.8</v>
      </c>
      <c r="F158" s="20"/>
      <c r="G158" s="100">
        <f>H158*O158</f>
        <v>24207530</v>
      </c>
      <c r="H158" s="1">
        <f>32089+34233</f>
        <v>66322</v>
      </c>
      <c r="I158" s="40">
        <f>J158*O158</f>
        <v>11620870</v>
      </c>
      <c r="J158" s="49">
        <f>H158-N158</f>
        <v>31838</v>
      </c>
      <c r="K158" s="4"/>
      <c r="L158" s="4"/>
      <c r="M158" s="191">
        <f>N158*O158</f>
        <v>12586660</v>
      </c>
      <c r="N158" s="4">
        <v>34484</v>
      </c>
      <c r="O158" s="22">
        <v>365</v>
      </c>
      <c r="P158" s="4" t="s">
        <v>59</v>
      </c>
      <c r="Q158" s="4" t="s">
        <v>56</v>
      </c>
      <c r="R158" s="64" t="s">
        <v>158</v>
      </c>
      <c r="S158" s="207" t="s">
        <v>53</v>
      </c>
    </row>
    <row r="159" spans="2:19" ht="33" hidden="1" customHeight="1">
      <c r="B159" s="265">
        <f>(C105+B105)*0.25*75</f>
        <v>57056.25</v>
      </c>
      <c r="D159" s="20">
        <v>27643.439999999999</v>
      </c>
      <c r="F159" s="20"/>
      <c r="G159" s="100">
        <f>H159*O159</f>
        <v>20751255</v>
      </c>
      <c r="H159" s="1">
        <f>27643+57056</f>
        <v>84699</v>
      </c>
      <c r="I159" s="40">
        <f>J159*O159</f>
        <v>13560995</v>
      </c>
      <c r="J159" s="49">
        <f>H159-N159</f>
        <v>55351</v>
      </c>
      <c r="K159" s="4"/>
      <c r="L159" s="4"/>
      <c r="M159" s="191">
        <f>N159*O159</f>
        <v>7190260</v>
      </c>
      <c r="N159" s="4">
        <v>29348</v>
      </c>
      <c r="O159" s="22">
        <v>245</v>
      </c>
      <c r="P159" s="4" t="s">
        <v>59</v>
      </c>
      <c r="Q159" s="4" t="s">
        <v>57</v>
      </c>
      <c r="R159" s="64" t="s">
        <v>158</v>
      </c>
      <c r="S159" s="207" t="s">
        <v>54</v>
      </c>
    </row>
    <row r="160" spans="2:19" ht="33" hidden="1" customHeight="1">
      <c r="B160" s="265">
        <f>(C105+B105)*0.25*150</f>
        <v>114112.5</v>
      </c>
      <c r="D160" s="20">
        <v>10067.700000000001</v>
      </c>
      <c r="F160" s="20"/>
      <c r="G160" s="100">
        <f>H160*O160</f>
        <v>1560385</v>
      </c>
      <c r="H160" s="1">
        <v>10067</v>
      </c>
      <c r="I160" s="40">
        <f>J160*O160</f>
        <v>91295</v>
      </c>
      <c r="J160" s="49">
        <f>H160-N160</f>
        <v>589</v>
      </c>
      <c r="K160" s="4"/>
      <c r="L160" s="4"/>
      <c r="M160" s="191">
        <f>N160*O160</f>
        <v>1469090</v>
      </c>
      <c r="N160" s="4">
        <v>9478</v>
      </c>
      <c r="O160" s="22">
        <v>155</v>
      </c>
      <c r="P160" s="4" t="s">
        <v>59</v>
      </c>
      <c r="Q160" s="4" t="s">
        <v>58</v>
      </c>
      <c r="R160" s="64" t="s">
        <v>158</v>
      </c>
      <c r="S160" s="207" t="s">
        <v>55</v>
      </c>
    </row>
    <row r="161" spans="2:28" ht="33" hidden="1" customHeight="1">
      <c r="B161" s="265"/>
      <c r="D161" s="20">
        <v>10067.700000000001</v>
      </c>
      <c r="F161" s="20"/>
      <c r="G161" s="100">
        <f>H161*O161</f>
        <v>1258375</v>
      </c>
      <c r="H161" s="1">
        <v>10067</v>
      </c>
      <c r="I161" s="40">
        <f>J161*O161</f>
        <v>73625</v>
      </c>
      <c r="J161" s="49">
        <f>H161-N161</f>
        <v>589</v>
      </c>
      <c r="K161" s="4"/>
      <c r="L161" s="4"/>
      <c r="M161" s="191">
        <f>N161*O161</f>
        <v>1184750</v>
      </c>
      <c r="N161" s="4">
        <v>9478</v>
      </c>
      <c r="O161" s="22">
        <v>125</v>
      </c>
      <c r="P161" s="4" t="s">
        <v>59</v>
      </c>
      <c r="Q161" s="4" t="s">
        <v>113</v>
      </c>
      <c r="R161" s="64" t="s">
        <v>158</v>
      </c>
      <c r="S161" s="207" t="s">
        <v>112</v>
      </c>
    </row>
    <row r="162" spans="2:28" ht="33" hidden="1" customHeight="1">
      <c r="B162" s="265"/>
      <c r="D162" s="20">
        <v>3355.9</v>
      </c>
      <c r="F162" s="20"/>
      <c r="G162" s="100">
        <f>H162*O162</f>
        <v>369050</v>
      </c>
      <c r="H162" s="1">
        <v>3355</v>
      </c>
      <c r="I162" s="40">
        <f>J162*O162</f>
        <v>21560</v>
      </c>
      <c r="J162" s="49">
        <f>H162-N162</f>
        <v>196</v>
      </c>
      <c r="K162" s="4"/>
      <c r="L162" s="4"/>
      <c r="M162" s="191">
        <f>N162*O162</f>
        <v>347490</v>
      </c>
      <c r="N162" s="4">
        <v>3159</v>
      </c>
      <c r="O162" s="22">
        <v>110</v>
      </c>
      <c r="P162" s="4" t="s">
        <v>59</v>
      </c>
      <c r="Q162" s="4" t="s">
        <v>127</v>
      </c>
      <c r="R162" s="64" t="s">
        <v>158</v>
      </c>
      <c r="S162" s="207" t="s">
        <v>126</v>
      </c>
    </row>
    <row r="163" spans="2:28" s="178" customFormat="1" ht="33" hidden="1" customHeight="1" thickBot="1">
      <c r="B163" s="261"/>
      <c r="C163" s="264"/>
      <c r="D163" s="179"/>
      <c r="F163" s="179"/>
      <c r="G163" s="407">
        <f>SUM(G158:G162)</f>
        <v>48146595</v>
      </c>
      <c r="H163" s="408"/>
      <c r="I163" s="403">
        <f>SUM(I158:I162)</f>
        <v>25368345</v>
      </c>
      <c r="J163" s="403"/>
      <c r="K163" s="434">
        <f>SUM(K158:K162)</f>
        <v>0</v>
      </c>
      <c r="L163" s="434"/>
      <c r="M163" s="434">
        <f>SUM(M158:M162)</f>
        <v>22778250</v>
      </c>
      <c r="N163" s="434"/>
      <c r="O163" s="182"/>
      <c r="P163" s="181"/>
      <c r="Q163" s="181" t="s">
        <v>14</v>
      </c>
      <c r="R163" s="180"/>
      <c r="S163" s="221"/>
    </row>
    <row r="164" spans="2:28" ht="49.5" hidden="1" customHeight="1"/>
    <row r="165" spans="2:28" ht="49.5" hidden="1" customHeight="1"/>
    <row r="166" spans="2:28" ht="49.5" hidden="1" customHeight="1"/>
    <row r="167" spans="2:28" ht="49.5" hidden="1" customHeight="1">
      <c r="T167" s="3"/>
      <c r="U167" s="3"/>
      <c r="V167" s="3"/>
      <c r="W167" s="3"/>
      <c r="X167" s="3"/>
      <c r="Y167" s="3"/>
      <c r="Z167" s="14"/>
      <c r="AA167" s="14"/>
      <c r="AB167" s="12"/>
    </row>
    <row r="168" spans="2:28" ht="49.5" hidden="1" customHeight="1">
      <c r="T168" s="3"/>
      <c r="U168" s="3"/>
      <c r="V168" s="3"/>
      <c r="W168" s="3"/>
      <c r="X168" s="3"/>
      <c r="Y168" s="3"/>
      <c r="Z168" s="14"/>
      <c r="AA168" s="14"/>
      <c r="AB168" s="12"/>
    </row>
    <row r="169" spans="2:28" ht="49.5" hidden="1" customHeight="1">
      <c r="T169" s="3"/>
      <c r="U169" s="3"/>
      <c r="V169" s="3"/>
      <c r="W169" s="3"/>
      <c r="X169" s="3"/>
      <c r="Y169" s="3"/>
      <c r="Z169" s="14"/>
      <c r="AA169" s="14"/>
      <c r="AB169" s="12"/>
    </row>
    <row r="170" spans="2:28" ht="49.5" hidden="1" customHeight="1">
      <c r="T170" s="3"/>
      <c r="U170" s="3"/>
      <c r="V170" s="3"/>
      <c r="W170" s="3"/>
      <c r="X170" s="3"/>
      <c r="Y170" s="3"/>
      <c r="Z170" s="14"/>
      <c r="AA170" s="14"/>
      <c r="AB170" s="12"/>
    </row>
    <row r="171" spans="2:28" ht="49.5" hidden="1" customHeight="1">
      <c r="D171" s="25"/>
      <c r="F171" s="25"/>
      <c r="T171" s="3"/>
      <c r="U171" s="3"/>
      <c r="V171" s="3"/>
      <c r="W171" s="3"/>
      <c r="X171" s="3"/>
      <c r="Y171" s="3"/>
      <c r="Z171" s="14"/>
      <c r="AA171" s="14"/>
      <c r="AB171" s="12"/>
    </row>
    <row r="172" spans="2:28" ht="49.5" hidden="1" customHeight="1">
      <c r="T172" s="3"/>
      <c r="U172" s="3"/>
      <c r="V172" s="3"/>
      <c r="W172" s="3"/>
      <c r="X172" s="3"/>
      <c r="Y172" s="3"/>
      <c r="Z172" s="14"/>
      <c r="AA172" s="14"/>
      <c r="AB172" s="12"/>
    </row>
    <row r="173" spans="2:28" ht="49.5" hidden="1" customHeight="1">
      <c r="D173" s="26"/>
      <c r="F173" s="26"/>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T176" s="3"/>
      <c r="U176" s="3"/>
      <c r="V176" s="3"/>
      <c r="W176" s="3"/>
      <c r="X176" s="3"/>
      <c r="Y176" s="3"/>
      <c r="Z176" s="14"/>
      <c r="AA176" s="14"/>
      <c r="AB176" s="12"/>
    </row>
    <row r="177" spans="4:28" ht="49.5" hidden="1" customHeight="1">
      <c r="D177" s="16">
        <v>1.25</v>
      </c>
      <c r="F177" s="16">
        <v>1.25</v>
      </c>
      <c r="I177" s="33" t="s">
        <v>69</v>
      </c>
      <c r="J177" s="33" t="s">
        <v>67</v>
      </c>
      <c r="T177" s="3"/>
      <c r="U177" s="3"/>
      <c r="V177" s="3"/>
      <c r="W177" s="3"/>
      <c r="X177" s="3"/>
      <c r="Y177" s="3"/>
      <c r="Z177" s="14"/>
      <c r="AA177" s="14"/>
      <c r="AB177" s="12"/>
    </row>
    <row r="178" spans="4:28" ht="49.5" hidden="1" customHeight="1">
      <c r="D178" s="16" t="e">
        <f>G163+#REF!+#REF!+G151+#REF!+G143+#REF!+G120+G96+#REF!+G91+G79+#REF!+G35+G12+#REF!</f>
        <v>#REF!</v>
      </c>
      <c r="F178" s="16" t="e">
        <f>I163+#REF!+#REF!+I151+#REF!+I143+#REF!+I120+I96+#REF!+I91+I79+#REF!+I35+I12+#REF!</f>
        <v>#REF!</v>
      </c>
      <c r="I178" s="53" t="e">
        <f>K163+#REF!+#REF!+K151+#REF!+K143+#REF!+K120+K96+#REF!+K91+K79+#REF!+K35+K12+#REF!</f>
        <v>#REF!</v>
      </c>
      <c r="J178" s="33" t="e">
        <f>M163+#REF!+#REF!+M151+#REF!+#REF!+M120+M96+#REF!+M91+M79+M35+#REF!+M12+M143+#REF!</f>
        <v>#REF!</v>
      </c>
      <c r="T178" s="3"/>
      <c r="U178" s="3"/>
      <c r="V178" s="3"/>
      <c r="W178" s="3"/>
      <c r="X178" s="3"/>
      <c r="Y178" s="3"/>
      <c r="Z178" s="14"/>
      <c r="AA178" s="14"/>
      <c r="AB178" s="12"/>
    </row>
    <row r="179" spans="4:28" ht="49.5" customHeight="1">
      <c r="T179" s="3"/>
      <c r="U179" s="3"/>
      <c r="V179" s="3"/>
      <c r="W179" s="3"/>
      <c r="X179" s="3"/>
      <c r="Y179" s="3"/>
      <c r="Z179" s="14"/>
      <c r="AA179" s="14"/>
      <c r="AB179" s="12"/>
    </row>
    <row r="180" spans="4:28" ht="49.5" customHeight="1">
      <c r="T180" s="3"/>
      <c r="U180" s="3"/>
      <c r="V180" s="3"/>
      <c r="W180" s="3"/>
      <c r="X180" s="3"/>
      <c r="Y180" s="3"/>
      <c r="Z180" s="14"/>
      <c r="AA180" s="14"/>
      <c r="AB180" s="12"/>
    </row>
    <row r="181" spans="4:28" ht="49.5" customHeight="1">
      <c r="T181" s="3"/>
      <c r="U181" s="3"/>
      <c r="V181" s="3"/>
      <c r="W181" s="3"/>
      <c r="X181" s="3"/>
      <c r="Y181" s="3"/>
      <c r="Z181" s="14"/>
      <c r="AA181" s="14"/>
      <c r="AB181" s="12"/>
    </row>
    <row r="182" spans="4:28" ht="49.5" customHeight="1">
      <c r="T182" s="3"/>
      <c r="U182" s="3"/>
      <c r="V182" s="3"/>
      <c r="W182" s="3"/>
      <c r="X182" s="3"/>
      <c r="Y182" s="3"/>
      <c r="Z182" s="14"/>
      <c r="AA182" s="14"/>
      <c r="AB182" s="12"/>
    </row>
    <row r="183" spans="4:28" ht="49.5" customHeight="1">
      <c r="T183" s="3"/>
      <c r="U183" s="3"/>
      <c r="V183" s="3"/>
      <c r="W183" s="3"/>
      <c r="X183" s="3"/>
      <c r="Y183" s="3"/>
      <c r="Z183" s="14"/>
      <c r="AA183" s="14"/>
      <c r="AB183" s="12"/>
    </row>
    <row r="184" spans="4:28" ht="49.5" customHeight="1">
      <c r="Z184" s="12"/>
      <c r="AA184" s="12"/>
      <c r="AB184" s="12"/>
    </row>
    <row r="185" spans="4:28" ht="49.5" customHeight="1">
      <c r="Z185" s="12"/>
      <c r="AA185" s="12"/>
      <c r="AB185" s="12"/>
    </row>
    <row r="186" spans="4:28" ht="49.5" customHeight="1">
      <c r="Z186" s="12"/>
      <c r="AA186" s="12"/>
      <c r="AB186" s="12"/>
    </row>
    <row r="187" spans="4:28" ht="49.5" customHeight="1">
      <c r="Z187" s="12"/>
      <c r="AA187" s="12"/>
      <c r="AB187" s="12"/>
    </row>
    <row r="188" spans="4:28" ht="49.5" customHeight="1">
      <c r="Z188" s="12"/>
      <c r="AA188" s="12"/>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row r="197" spans="26:28" ht="49.5" customHeight="1">
      <c r="Z197" s="12"/>
      <c r="AA197" s="12"/>
      <c r="AB197" s="12"/>
    </row>
  </sheetData>
  <mergeCells count="129">
    <mergeCell ref="G1:H1"/>
    <mergeCell ref="I1:J1"/>
    <mergeCell ref="D3:D4"/>
    <mergeCell ref="F3:F4"/>
    <mergeCell ref="G3:H3"/>
    <mergeCell ref="I3:J3"/>
    <mergeCell ref="K3:L3"/>
    <mergeCell ref="M3:N3"/>
    <mergeCell ref="O3:O4"/>
    <mergeCell ref="P3:P4"/>
    <mergeCell ref="Q3:Q4"/>
    <mergeCell ref="S3:S4"/>
    <mergeCell ref="I12:J12"/>
    <mergeCell ref="K12:L12"/>
    <mergeCell ref="M12:N12"/>
    <mergeCell ref="G14:H14"/>
    <mergeCell ref="I14:J14"/>
    <mergeCell ref="D17:D18"/>
    <mergeCell ref="F17:F18"/>
    <mergeCell ref="G17:H17"/>
    <mergeCell ref="I17:J17"/>
    <mergeCell ref="K17:L17"/>
    <mergeCell ref="M17:N17"/>
    <mergeCell ref="O17:O18"/>
    <mergeCell ref="P17:P18"/>
    <mergeCell ref="Q17:Q18"/>
    <mergeCell ref="S17:S18"/>
    <mergeCell ref="G35:H35"/>
    <mergeCell ref="I35:J35"/>
    <mergeCell ref="K35:L35"/>
    <mergeCell ref="M35:N35"/>
    <mergeCell ref="G37:H37"/>
    <mergeCell ref="I37:J37"/>
    <mergeCell ref="G55:H55"/>
    <mergeCell ref="I55:J55"/>
    <mergeCell ref="K55:L55"/>
    <mergeCell ref="M55:N55"/>
    <mergeCell ref="G57:H57"/>
    <mergeCell ref="I57:J57"/>
    <mergeCell ref="D60:D61"/>
    <mergeCell ref="F60:F61"/>
    <mergeCell ref="G60:H60"/>
    <mergeCell ref="I60:J60"/>
    <mergeCell ref="K60:L60"/>
    <mergeCell ref="M60:N60"/>
    <mergeCell ref="O60:O61"/>
    <mergeCell ref="P60:P61"/>
    <mergeCell ref="Q60:Q61"/>
    <mergeCell ref="S60:S61"/>
    <mergeCell ref="G66:H66"/>
    <mergeCell ref="I66:J66"/>
    <mergeCell ref="M66:N66"/>
    <mergeCell ref="G79:H79"/>
    <mergeCell ref="I79:J79"/>
    <mergeCell ref="K79:L79"/>
    <mergeCell ref="M79:N79"/>
    <mergeCell ref="G81:H81"/>
    <mergeCell ref="I81:J81"/>
    <mergeCell ref="D84:D85"/>
    <mergeCell ref="F84:F85"/>
    <mergeCell ref="G84:H84"/>
    <mergeCell ref="I84:J84"/>
    <mergeCell ref="K84:L84"/>
    <mergeCell ref="M84:N84"/>
    <mergeCell ref="O84:O85"/>
    <mergeCell ref="P84:P85"/>
    <mergeCell ref="Q84:Q85"/>
    <mergeCell ref="S84:S85"/>
    <mergeCell ref="G91:H91"/>
    <mergeCell ref="I91:J91"/>
    <mergeCell ref="K91:L91"/>
    <mergeCell ref="M91:N91"/>
    <mergeCell ref="O91:P91"/>
    <mergeCell ref="G96:H96"/>
    <mergeCell ref="I96:J96"/>
    <mergeCell ref="K96:L96"/>
    <mergeCell ref="M96:N96"/>
    <mergeCell ref="G98:H98"/>
    <mergeCell ref="I98:J98"/>
    <mergeCell ref="D101:D102"/>
    <mergeCell ref="F101:F102"/>
    <mergeCell ref="G101:H101"/>
    <mergeCell ref="I101:J101"/>
    <mergeCell ref="K101:L101"/>
    <mergeCell ref="M101:N101"/>
    <mergeCell ref="O101:O102"/>
    <mergeCell ref="P101:P102"/>
    <mergeCell ref="Q101:Q102"/>
    <mergeCell ref="S101:S102"/>
    <mergeCell ref="G120:H120"/>
    <mergeCell ref="I120:J120"/>
    <mergeCell ref="K120:L120"/>
    <mergeCell ref="M120:N120"/>
    <mergeCell ref="G122:H122"/>
    <mergeCell ref="I122:J122"/>
    <mergeCell ref="S125:S126"/>
    <mergeCell ref="G130:H130"/>
    <mergeCell ref="I130:J130"/>
    <mergeCell ref="K130:L130"/>
    <mergeCell ref="M130:N130"/>
    <mergeCell ref="D125:D126"/>
    <mergeCell ref="F125:F126"/>
    <mergeCell ref="G125:H125"/>
    <mergeCell ref="I125:J125"/>
    <mergeCell ref="K125:L125"/>
    <mergeCell ref="P1:Q1"/>
    <mergeCell ref="G163:H163"/>
    <mergeCell ref="I163:J163"/>
    <mergeCell ref="K163:L163"/>
    <mergeCell ref="M163:N163"/>
    <mergeCell ref="G151:H151"/>
    <mergeCell ref="I151:J151"/>
    <mergeCell ref="K151:L151"/>
    <mergeCell ref="M151:N151"/>
    <mergeCell ref="G156:H156"/>
    <mergeCell ref="I156:J156"/>
    <mergeCell ref="O143:P143"/>
    <mergeCell ref="G146:H146"/>
    <mergeCell ref="I146:J146"/>
    <mergeCell ref="O125:O126"/>
    <mergeCell ref="P125:P126"/>
    <mergeCell ref="Q125:Q126"/>
    <mergeCell ref="M125:N125"/>
    <mergeCell ref="K156:L156"/>
    <mergeCell ref="M156:N156"/>
    <mergeCell ref="G143:H143"/>
    <mergeCell ref="I143:J143"/>
    <mergeCell ref="K143:L143"/>
    <mergeCell ref="M143:N143"/>
  </mergeCells>
  <printOptions horizontalCentered="1"/>
  <pageMargins left="0" right="0" top="0.78740157480314965" bottom="0.98425196850393704" header="0.39370078740157483" footer="0.59055118110236227"/>
  <pageSetup paperSize="9" scale="90"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view="pageBreakPreview" topLeftCell="F1" zoomScale="115" zoomScaleSheetLayoutView="115" workbookViewId="0">
      <selection activeCell="Q3" sqref="Q3:Q4"/>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7.85546875" style="16" customWidth="1"/>
    <col min="7" max="7" width="14.85546875" style="95" customWidth="1"/>
    <col min="8" max="8" width="13.5703125" style="16" customWidth="1"/>
    <col min="9" max="9" width="13.140625" style="33" customWidth="1"/>
    <col min="10" max="10" width="10.140625" style="33" customWidth="1"/>
    <col min="11" max="11" width="13.140625" style="16" hidden="1" customWidth="1"/>
    <col min="12" max="12" width="10" style="16" hidden="1" customWidth="1"/>
    <col min="13" max="13" width="13.5703125" style="95" customWidth="1"/>
    <col min="14" max="14" width="9.7109375" style="16" customWidth="1"/>
    <col min="15" max="15" width="9.7109375" style="104" customWidth="1"/>
    <col min="16" max="16" width="9.5703125" style="16" customWidth="1"/>
    <col min="17" max="17" width="37.140625" style="16" customWidth="1"/>
    <col min="18" max="18" width="5.85546875" style="16" customWidth="1"/>
    <col min="19" max="19" width="8.1406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78"/>
      <c r="Q1" s="381" t="s">
        <v>383</v>
      </c>
      <c r="R1" s="381"/>
      <c r="S1" s="219"/>
    </row>
    <row r="2" spans="2:19" ht="28.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62"/>
      <c r="S3" s="420" t="s">
        <v>0</v>
      </c>
    </row>
    <row r="4" spans="2:19" ht="25.5" customHeight="1">
      <c r="D4" s="384"/>
      <c r="F4" s="384"/>
      <c r="G4" s="97" t="s">
        <v>374</v>
      </c>
      <c r="H4" s="49" t="s">
        <v>373</v>
      </c>
      <c r="I4" s="49" t="s">
        <v>143</v>
      </c>
      <c r="J4" s="49" t="s">
        <v>142</v>
      </c>
      <c r="K4" s="1" t="s">
        <v>4</v>
      </c>
      <c r="L4" s="1" t="s">
        <v>3</v>
      </c>
      <c r="M4" s="100" t="s">
        <v>141</v>
      </c>
      <c r="N4" s="1" t="s">
        <v>140</v>
      </c>
      <c r="O4" s="429"/>
      <c r="P4" s="388"/>
      <c r="Q4" s="388"/>
      <c r="R4" s="2"/>
      <c r="S4" s="421"/>
    </row>
    <row r="5" spans="2:19" ht="23.25" customHeight="1" thickBot="1">
      <c r="D5" s="85"/>
      <c r="F5" s="176"/>
      <c r="G5" s="145"/>
      <c r="H5" s="136"/>
      <c r="I5" s="146"/>
      <c r="J5" s="146"/>
      <c r="K5" s="136"/>
      <c r="L5" s="136"/>
      <c r="M5" s="145" t="s">
        <v>303</v>
      </c>
      <c r="N5" s="136"/>
      <c r="O5" s="136"/>
      <c r="P5" s="136"/>
      <c r="Q5" s="86" t="s">
        <v>365</v>
      </c>
      <c r="R5" s="42"/>
      <c r="S5" s="220"/>
    </row>
    <row r="6" spans="2:19" ht="33" customHeight="1">
      <c r="B6" s="259">
        <v>500</v>
      </c>
      <c r="D6" s="35"/>
      <c r="F6" s="35"/>
      <c r="G6" s="269"/>
      <c r="H6" s="269">
        <f t="shared" ref="H6" si="0">(J6-N6)*O6</f>
        <v>54366000</v>
      </c>
      <c r="I6" s="269">
        <f t="shared" ref="I6" si="1">J6*O6</f>
        <v>54366000</v>
      </c>
      <c r="J6" s="49">
        <v>418.2</v>
      </c>
      <c r="K6" s="6"/>
      <c r="L6" s="28"/>
      <c r="M6" s="269">
        <f t="shared" ref="M6" si="2">N6*O6</f>
        <v>0</v>
      </c>
      <c r="N6" s="6">
        <v>0</v>
      </c>
      <c r="O6" s="359">
        <v>130000</v>
      </c>
      <c r="P6" s="6" t="s">
        <v>476</v>
      </c>
      <c r="Q6" s="6" t="s">
        <v>514</v>
      </c>
      <c r="R6" s="63" t="s">
        <v>158</v>
      </c>
      <c r="S6" s="358" t="s">
        <v>513</v>
      </c>
    </row>
    <row r="7" spans="2:19" ht="33" customHeight="1">
      <c r="B7" s="259" t="s">
        <v>264</v>
      </c>
      <c r="C7" s="3" t="s">
        <v>279</v>
      </c>
      <c r="D7" s="35">
        <v>521.12</v>
      </c>
      <c r="F7" s="35"/>
      <c r="G7" s="269"/>
      <c r="H7" s="269">
        <f>(J7-N7)*O7</f>
        <v>10754999.999999993</v>
      </c>
      <c r="I7" s="269">
        <f t="shared" ref="I7:I15" si="3">J7*O7</f>
        <v>64574999.999999993</v>
      </c>
      <c r="J7" s="49">
        <v>43.05</v>
      </c>
      <c r="K7" s="6"/>
      <c r="L7" s="28"/>
      <c r="M7" s="269">
        <f t="shared" ref="M7:M15" si="4">N7*O7</f>
        <v>53820000.000000007</v>
      </c>
      <c r="N7" s="6">
        <v>35.880000000000003</v>
      </c>
      <c r="O7" s="22">
        <v>1500000</v>
      </c>
      <c r="P7" s="6" t="s">
        <v>476</v>
      </c>
      <c r="Q7" s="6" t="s">
        <v>475</v>
      </c>
      <c r="R7" s="63" t="s">
        <v>158</v>
      </c>
      <c r="S7" s="34" t="s">
        <v>474</v>
      </c>
    </row>
    <row r="8" spans="2:19" ht="33" customHeight="1">
      <c r="B8" s="259">
        <v>500</v>
      </c>
      <c r="D8" s="35"/>
      <c r="F8" s="35"/>
      <c r="G8" s="269">
        <f>(N8-J8)*O8</f>
        <v>5120000</v>
      </c>
      <c r="H8" s="269"/>
      <c r="I8" s="269">
        <f t="shared" si="3"/>
        <v>0</v>
      </c>
      <c r="J8" s="49">
        <v>0</v>
      </c>
      <c r="K8" s="6"/>
      <c r="L8" s="28"/>
      <c r="M8" s="269">
        <f t="shared" si="4"/>
        <v>5120000</v>
      </c>
      <c r="N8" s="6">
        <v>20</v>
      </c>
      <c r="O8" s="22">
        <v>256000</v>
      </c>
      <c r="P8" s="6" t="s">
        <v>325</v>
      </c>
      <c r="Q8" s="6" t="s">
        <v>378</v>
      </c>
      <c r="R8" s="63" t="s">
        <v>158</v>
      </c>
      <c r="S8" s="335" t="s">
        <v>377</v>
      </c>
    </row>
    <row r="9" spans="2:19" ht="33" customHeight="1">
      <c r="B9" s="259">
        <v>1050</v>
      </c>
      <c r="D9" s="20">
        <v>521.12</v>
      </c>
      <c r="F9" s="20"/>
      <c r="G9" s="269"/>
      <c r="H9" s="269"/>
      <c r="I9" s="269">
        <f t="shared" si="3"/>
        <v>0</v>
      </c>
      <c r="J9" s="49"/>
      <c r="K9" s="6"/>
      <c r="L9" s="6"/>
      <c r="M9" s="269">
        <f t="shared" si="4"/>
        <v>0</v>
      </c>
      <c r="N9" s="6"/>
      <c r="O9" s="22"/>
      <c r="P9" s="6"/>
      <c r="Q9" s="6"/>
      <c r="R9" s="63"/>
      <c r="S9" s="34"/>
    </row>
    <row r="10" spans="2:19" ht="33" hidden="1" customHeight="1">
      <c r="B10" s="259" t="s">
        <v>257</v>
      </c>
      <c r="C10" s="3" t="s">
        <v>280</v>
      </c>
      <c r="D10" s="20">
        <v>496.94</v>
      </c>
      <c r="F10" s="20"/>
      <c r="G10" s="98"/>
      <c r="H10" s="49"/>
      <c r="I10" s="40">
        <f t="shared" si="3"/>
        <v>0</v>
      </c>
      <c r="J10" s="49"/>
      <c r="K10" s="6"/>
      <c r="L10" s="6"/>
      <c r="M10" s="269">
        <f t="shared" si="4"/>
        <v>0</v>
      </c>
      <c r="N10" s="6"/>
      <c r="O10" s="22"/>
      <c r="P10" s="6"/>
      <c r="Q10" s="6"/>
      <c r="R10" s="63"/>
      <c r="S10" s="38"/>
    </row>
    <row r="11" spans="2:19" ht="33" hidden="1" customHeight="1">
      <c r="D11" s="20"/>
      <c r="F11" s="20"/>
      <c r="G11" s="98"/>
      <c r="H11" s="49"/>
      <c r="I11" s="40">
        <f t="shared" si="3"/>
        <v>0</v>
      </c>
      <c r="J11" s="49"/>
      <c r="K11" s="6"/>
      <c r="L11" s="6"/>
      <c r="M11" s="269">
        <f t="shared" si="4"/>
        <v>0</v>
      </c>
      <c r="N11" s="6"/>
      <c r="O11" s="22"/>
      <c r="P11" s="6"/>
      <c r="Q11" s="6"/>
      <c r="R11" s="63"/>
      <c r="S11" s="38"/>
    </row>
    <row r="12" spans="2:19" ht="33" hidden="1" customHeight="1">
      <c r="D12" s="57"/>
      <c r="F12" s="57"/>
      <c r="G12" s="337">
        <f>SUM(G7:G11)</f>
        <v>5120000</v>
      </c>
      <c r="H12" s="337">
        <f>SUM(H7:H11)</f>
        <v>10754999.999999993</v>
      </c>
      <c r="I12" s="40">
        <f t="shared" si="3"/>
        <v>0</v>
      </c>
      <c r="J12" s="270"/>
      <c r="K12" s="7"/>
      <c r="L12" s="7"/>
      <c r="M12" s="269">
        <f t="shared" si="4"/>
        <v>0</v>
      </c>
      <c r="N12" s="7"/>
      <c r="O12" s="60"/>
      <c r="P12" s="6"/>
      <c r="Q12" s="6"/>
      <c r="R12" s="63"/>
      <c r="S12" s="61"/>
    </row>
    <row r="13" spans="2:19" ht="38.25" hidden="1" customHeight="1">
      <c r="D13" s="57"/>
      <c r="F13" s="57"/>
      <c r="G13" s="98">
        <f t="shared" ref="G13:G15" si="5">H13*O13</f>
        <v>0</v>
      </c>
      <c r="H13" s="270"/>
      <c r="I13" s="40">
        <f t="shared" si="3"/>
        <v>0</v>
      </c>
      <c r="J13" s="270"/>
      <c r="K13" s="7"/>
      <c r="L13" s="7"/>
      <c r="M13" s="269">
        <f t="shared" si="4"/>
        <v>0</v>
      </c>
      <c r="N13" s="7"/>
      <c r="O13" s="60"/>
      <c r="P13" s="6"/>
      <c r="Q13" s="6"/>
      <c r="R13" s="63"/>
      <c r="S13" s="61"/>
    </row>
    <row r="14" spans="2:19" ht="33" hidden="1" customHeight="1">
      <c r="D14" s="57"/>
      <c r="F14" s="57"/>
      <c r="G14" s="98">
        <f t="shared" si="5"/>
        <v>0</v>
      </c>
      <c r="H14" s="270"/>
      <c r="I14" s="40">
        <f t="shared" si="3"/>
        <v>0</v>
      </c>
      <c r="J14" s="270"/>
      <c r="K14" s="7"/>
      <c r="L14" s="7"/>
      <c r="M14" s="269">
        <f t="shared" si="4"/>
        <v>0</v>
      </c>
      <c r="N14" s="7"/>
      <c r="O14" s="60"/>
      <c r="P14" s="6"/>
      <c r="Q14" s="6"/>
      <c r="R14" s="63"/>
      <c r="S14" s="61"/>
    </row>
    <row r="15" spans="2:19" ht="33" hidden="1" customHeight="1">
      <c r="D15" s="57"/>
      <c r="F15" s="57"/>
      <c r="G15" s="98">
        <f t="shared" si="5"/>
        <v>0</v>
      </c>
      <c r="H15" s="270"/>
      <c r="I15" s="40">
        <f t="shared" si="3"/>
        <v>0</v>
      </c>
      <c r="J15" s="270"/>
      <c r="K15" s="7"/>
      <c r="L15" s="7"/>
      <c r="M15" s="269">
        <f t="shared" si="4"/>
        <v>0</v>
      </c>
      <c r="N15" s="7"/>
      <c r="O15" s="60"/>
      <c r="P15" s="7"/>
      <c r="Q15" s="7"/>
      <c r="R15" s="63"/>
      <c r="S15" s="61"/>
    </row>
    <row r="16" spans="2:19" ht="49.5" customHeight="1" thickBot="1">
      <c r="D16" s="116"/>
      <c r="F16" s="116"/>
      <c r="G16" s="337">
        <f>SUM(G6:G9)</f>
        <v>5120000</v>
      </c>
      <c r="H16" s="337">
        <f>SUM(H6:H9)</f>
        <v>65120999.999999993</v>
      </c>
      <c r="I16" s="402">
        <f>SUM(I6:I15)</f>
        <v>118941000</v>
      </c>
      <c r="J16" s="402"/>
      <c r="K16" s="400">
        <f>SUM(K7:K9)</f>
        <v>0</v>
      </c>
      <c r="L16" s="400"/>
      <c r="M16" s="400">
        <f>SUM(M6:M15)</f>
        <v>58940000.000000007</v>
      </c>
      <c r="N16" s="400"/>
      <c r="O16" s="39"/>
      <c r="P16" s="115"/>
      <c r="Q16" s="115" t="s">
        <v>366</v>
      </c>
      <c r="R16" s="8"/>
      <c r="S16" s="206"/>
    </row>
    <row r="17" spans="2:20" ht="49.5" customHeight="1">
      <c r="D17" s="13"/>
      <c r="F17" s="13"/>
      <c r="G17" s="99"/>
      <c r="H17" s="37"/>
      <c r="I17" s="50"/>
      <c r="J17" s="50"/>
      <c r="K17" s="37"/>
      <c r="L17" s="37"/>
      <c r="M17" s="99"/>
      <c r="N17" s="37"/>
      <c r="O17" s="24"/>
      <c r="P17" s="9"/>
      <c r="Q17" s="9"/>
      <c r="R17" s="9"/>
      <c r="S17" s="208"/>
    </row>
    <row r="18" spans="2:20" ht="23.25" hidden="1" customHeight="1">
      <c r="D18" s="77"/>
      <c r="F18" s="173"/>
      <c r="G18" s="382" t="s">
        <v>300</v>
      </c>
      <c r="H18" s="382"/>
      <c r="I18" s="382" t="s">
        <v>145</v>
      </c>
      <c r="J18" s="382"/>
      <c r="K18" s="78"/>
      <c r="L18" s="78"/>
      <c r="M18" s="199"/>
      <c r="N18" s="78"/>
      <c r="O18" s="79"/>
      <c r="P18" s="78"/>
      <c r="Q18" s="80" t="s">
        <v>171</v>
      </c>
      <c r="R18" s="41"/>
      <c r="S18" s="219"/>
    </row>
    <row r="19" spans="2:20" ht="23.25" hidden="1" customHeight="1">
      <c r="D19" s="81"/>
      <c r="F19" s="174"/>
      <c r="G19" s="96"/>
      <c r="H19" s="82"/>
      <c r="I19" s="83"/>
      <c r="J19" s="143" t="s">
        <v>146</v>
      </c>
      <c r="K19" s="144"/>
      <c r="L19" s="144"/>
      <c r="M19" s="200"/>
      <c r="N19" s="144"/>
      <c r="O19" s="135"/>
      <c r="P19" s="144"/>
      <c r="Q19" s="84" t="s">
        <v>292</v>
      </c>
      <c r="R19" s="56"/>
      <c r="S19" s="175"/>
    </row>
    <row r="20" spans="2:20" ht="23.25" hidden="1" customHeight="1" thickBot="1">
      <c r="D20" s="85"/>
      <c r="F20" s="85"/>
      <c r="G20" s="145"/>
      <c r="H20" s="136"/>
      <c r="I20" s="146"/>
      <c r="J20" s="146"/>
      <c r="K20" s="136"/>
      <c r="L20" s="136"/>
      <c r="M20" s="145" t="s">
        <v>183</v>
      </c>
      <c r="N20" s="136"/>
      <c r="O20" s="136"/>
      <c r="P20" s="136"/>
      <c r="Q20" s="86" t="s">
        <v>184</v>
      </c>
      <c r="R20" s="42"/>
      <c r="S20" s="205"/>
    </row>
    <row r="21" spans="2:20" ht="25.5" hidden="1" customHeight="1">
      <c r="D21" s="385" t="s">
        <v>144</v>
      </c>
      <c r="F21" s="385" t="s">
        <v>144</v>
      </c>
      <c r="G21" s="406" t="s">
        <v>63</v>
      </c>
      <c r="H21" s="406"/>
      <c r="I21" s="409" t="s">
        <v>170</v>
      </c>
      <c r="J21" s="409"/>
      <c r="K21" s="401" t="s">
        <v>2</v>
      </c>
      <c r="L21" s="401"/>
      <c r="M21" s="401" t="s">
        <v>220</v>
      </c>
      <c r="N21" s="401"/>
      <c r="O21" s="426" t="s">
        <v>139</v>
      </c>
      <c r="P21" s="401" t="s">
        <v>1</v>
      </c>
      <c r="Q21" s="401" t="s">
        <v>138</v>
      </c>
      <c r="R21" s="62"/>
      <c r="S21" s="424" t="s">
        <v>0</v>
      </c>
    </row>
    <row r="22" spans="2:20" ht="25.5" hidden="1" customHeight="1">
      <c r="D22" s="386"/>
      <c r="F22" s="386"/>
      <c r="G22" s="97" t="s">
        <v>143</v>
      </c>
      <c r="H22" s="49" t="s">
        <v>142</v>
      </c>
      <c r="I22" s="49" t="s">
        <v>143</v>
      </c>
      <c r="J22" s="49" t="s">
        <v>142</v>
      </c>
      <c r="K22" s="1" t="s">
        <v>4</v>
      </c>
      <c r="L22" s="1" t="s">
        <v>3</v>
      </c>
      <c r="M22" s="100" t="s">
        <v>141</v>
      </c>
      <c r="N22" s="1" t="s">
        <v>140</v>
      </c>
      <c r="O22" s="427"/>
      <c r="P22" s="422"/>
      <c r="Q22" s="422"/>
      <c r="R22" s="2"/>
      <c r="S22" s="425"/>
    </row>
    <row r="23" spans="2:20" ht="30.75" hidden="1" customHeight="1">
      <c r="D23" s="111">
        <v>10848.34</v>
      </c>
      <c r="E23" s="109"/>
      <c r="F23" s="111"/>
      <c r="G23" s="100">
        <f t="shared" ref="G23:G38" si="6">H23*O23</f>
        <v>29289600</v>
      </c>
      <c r="H23" s="1">
        <v>10848</v>
      </c>
      <c r="I23" s="40">
        <f>J23*O23</f>
        <v>-9036900</v>
      </c>
      <c r="J23" s="49">
        <f>H23-N23</f>
        <v>-3347</v>
      </c>
      <c r="K23" s="6"/>
      <c r="L23" s="4"/>
      <c r="M23" s="191">
        <f t="shared" ref="M23:M38" si="7">N23*O23</f>
        <v>38326500</v>
      </c>
      <c r="N23" s="4">
        <v>14195</v>
      </c>
      <c r="O23" s="22">
        <v>2700</v>
      </c>
      <c r="P23" s="6" t="s">
        <v>35</v>
      </c>
      <c r="Q23" s="45" t="s">
        <v>152</v>
      </c>
      <c r="R23" s="63" t="s">
        <v>158</v>
      </c>
      <c r="S23" s="38" t="s">
        <v>71</v>
      </c>
      <c r="T23" s="30"/>
    </row>
    <row r="24" spans="2:20" ht="30.75" hidden="1" customHeight="1">
      <c r="D24" s="110">
        <v>1205.3599999999999</v>
      </c>
      <c r="E24" s="109"/>
      <c r="F24" s="110"/>
      <c r="G24" s="100">
        <f t="shared" si="6"/>
        <v>18195500</v>
      </c>
      <c r="H24" s="1">
        <v>1205</v>
      </c>
      <c r="I24" s="40">
        <f t="shared" ref="I24:I38" si="8">J24*O24</f>
        <v>18195500</v>
      </c>
      <c r="J24" s="49">
        <f t="shared" ref="J24:J37" si="9">H24-N24</f>
        <v>1205</v>
      </c>
      <c r="K24" s="6"/>
      <c r="L24" s="4"/>
      <c r="M24" s="191">
        <f t="shared" si="7"/>
        <v>0</v>
      </c>
      <c r="N24" s="4"/>
      <c r="O24" s="22">
        <v>15100</v>
      </c>
      <c r="P24" s="6" t="s">
        <v>35</v>
      </c>
      <c r="Q24" s="45" t="s">
        <v>73</v>
      </c>
      <c r="R24" s="63" t="s">
        <v>158</v>
      </c>
      <c r="S24" s="38" t="s">
        <v>72</v>
      </c>
      <c r="T24" s="30"/>
    </row>
    <row r="25" spans="2:20" ht="30.75" hidden="1" customHeight="1">
      <c r="B25" s="259">
        <v>1500</v>
      </c>
      <c r="D25" s="110">
        <v>1250</v>
      </c>
      <c r="E25" s="109"/>
      <c r="F25" s="110"/>
      <c r="G25" s="100">
        <f t="shared" si="6"/>
        <v>42900000</v>
      </c>
      <c r="H25" s="1">
        <f>1250+1500</f>
        <v>2750</v>
      </c>
      <c r="I25" s="40">
        <f t="shared" si="8"/>
        <v>42900000</v>
      </c>
      <c r="J25" s="49">
        <f t="shared" si="9"/>
        <v>2750</v>
      </c>
      <c r="K25" s="6"/>
      <c r="L25" s="4"/>
      <c r="M25" s="191">
        <f t="shared" si="7"/>
        <v>0</v>
      </c>
      <c r="N25" s="4"/>
      <c r="O25" s="22">
        <v>15600</v>
      </c>
      <c r="P25" s="6" t="s">
        <v>35</v>
      </c>
      <c r="Q25" s="45" t="s">
        <v>246</v>
      </c>
      <c r="R25" s="63" t="s">
        <v>158</v>
      </c>
      <c r="S25" s="38" t="s">
        <v>245</v>
      </c>
      <c r="T25" s="30"/>
    </row>
    <row r="26" spans="2:20" ht="30.75" hidden="1" customHeight="1">
      <c r="B26" s="259" t="s">
        <v>265</v>
      </c>
      <c r="C26" s="3" t="s">
        <v>281</v>
      </c>
      <c r="D26" s="110">
        <v>942</v>
      </c>
      <c r="E26" s="109"/>
      <c r="F26" s="110"/>
      <c r="G26" s="100">
        <f t="shared" si="6"/>
        <v>10413420</v>
      </c>
      <c r="H26" s="1">
        <f>942+1000*0.4+420</f>
        <v>1762</v>
      </c>
      <c r="I26" s="40">
        <f t="shared" si="8"/>
        <v>2139420</v>
      </c>
      <c r="J26" s="49">
        <f t="shared" si="9"/>
        <v>362</v>
      </c>
      <c r="K26" s="6"/>
      <c r="L26" s="4"/>
      <c r="M26" s="191">
        <f t="shared" si="7"/>
        <v>8274000</v>
      </c>
      <c r="N26" s="4">
        <v>1400</v>
      </c>
      <c r="O26" s="22">
        <v>5910</v>
      </c>
      <c r="P26" s="6" t="s">
        <v>35</v>
      </c>
      <c r="Q26" s="45" t="s">
        <v>75</v>
      </c>
      <c r="R26" s="63" t="s">
        <v>158</v>
      </c>
      <c r="S26" s="38" t="s">
        <v>74</v>
      </c>
      <c r="T26" s="30"/>
    </row>
    <row r="27" spans="2:20" ht="30.75" hidden="1" customHeight="1">
      <c r="B27" s="259" t="s">
        <v>266</v>
      </c>
      <c r="D27" s="110">
        <v>1152.5999999999999</v>
      </c>
      <c r="E27" s="109"/>
      <c r="F27" s="110"/>
      <c r="G27" s="100">
        <f t="shared" si="6"/>
        <v>40759200</v>
      </c>
      <c r="H27" s="1">
        <f>1152+2520</f>
        <v>3672</v>
      </c>
      <c r="I27" s="40">
        <f t="shared" si="8"/>
        <v>40759200</v>
      </c>
      <c r="J27" s="49">
        <f t="shared" si="9"/>
        <v>3672</v>
      </c>
      <c r="K27" s="6"/>
      <c r="L27" s="4"/>
      <c r="M27" s="191"/>
      <c r="N27" s="4"/>
      <c r="O27" s="22">
        <v>11100</v>
      </c>
      <c r="P27" s="6" t="s">
        <v>35</v>
      </c>
      <c r="Q27" s="45" t="s">
        <v>248</v>
      </c>
      <c r="R27" s="63" t="s">
        <v>158</v>
      </c>
      <c r="S27" s="38" t="s">
        <v>247</v>
      </c>
      <c r="T27" s="30"/>
    </row>
    <row r="28" spans="2:20" ht="30.75" hidden="1" customHeight="1">
      <c r="C28" s="3" t="s">
        <v>282</v>
      </c>
      <c r="D28" s="110">
        <v>1017.33</v>
      </c>
      <c r="E28" s="109"/>
      <c r="F28" s="110"/>
      <c r="G28" s="100">
        <f t="shared" si="6"/>
        <v>97239700</v>
      </c>
      <c r="H28" s="1">
        <f>1017+1000*0.5</f>
        <v>1517</v>
      </c>
      <c r="I28" s="40">
        <f t="shared" si="8"/>
        <v>-5320300</v>
      </c>
      <c r="J28" s="49">
        <f t="shared" si="9"/>
        <v>-83</v>
      </c>
      <c r="K28" s="6"/>
      <c r="L28" s="4"/>
      <c r="M28" s="191">
        <f t="shared" si="7"/>
        <v>102560000</v>
      </c>
      <c r="N28" s="4">
        <v>1600</v>
      </c>
      <c r="O28" s="22">
        <v>64100</v>
      </c>
      <c r="P28" s="6" t="s">
        <v>35</v>
      </c>
      <c r="Q28" s="45" t="s">
        <v>77</v>
      </c>
      <c r="R28" s="63" t="s">
        <v>158</v>
      </c>
      <c r="S28" s="38" t="s">
        <v>76</v>
      </c>
      <c r="T28" s="30"/>
    </row>
    <row r="29" spans="2:20" ht="30.75" hidden="1" customHeight="1">
      <c r="B29" s="259">
        <v>800</v>
      </c>
      <c r="D29" s="110"/>
      <c r="E29" s="109"/>
      <c r="F29" s="110"/>
      <c r="G29" s="100">
        <f t="shared" si="6"/>
        <v>740000</v>
      </c>
      <c r="H29" s="1">
        <v>800</v>
      </c>
      <c r="I29" s="40">
        <f t="shared" si="8"/>
        <v>740000</v>
      </c>
      <c r="J29" s="49">
        <f t="shared" si="9"/>
        <v>800</v>
      </c>
      <c r="K29" s="6"/>
      <c r="L29" s="4"/>
      <c r="M29" s="191">
        <f t="shared" si="7"/>
        <v>0</v>
      </c>
      <c r="N29" s="4"/>
      <c r="O29" s="22">
        <v>925</v>
      </c>
      <c r="P29" s="6" t="s">
        <v>35</v>
      </c>
      <c r="Q29" s="45" t="s">
        <v>80</v>
      </c>
      <c r="R29" s="63" t="s">
        <v>158</v>
      </c>
      <c r="S29" s="38" t="s">
        <v>78</v>
      </c>
      <c r="T29" s="30"/>
    </row>
    <row r="30" spans="2:20" ht="30.75" hidden="1" customHeight="1">
      <c r="D30" s="110"/>
      <c r="E30" s="109"/>
      <c r="F30" s="110"/>
      <c r="G30" s="100">
        <f t="shared" si="6"/>
        <v>2280000</v>
      </c>
      <c r="H30" s="1">
        <v>300</v>
      </c>
      <c r="I30" s="40">
        <f t="shared" si="8"/>
        <v>2280000</v>
      </c>
      <c r="J30" s="49">
        <f t="shared" si="9"/>
        <v>300</v>
      </c>
      <c r="K30" s="6"/>
      <c r="L30" s="4"/>
      <c r="M30" s="191">
        <f t="shared" si="7"/>
        <v>0</v>
      </c>
      <c r="N30" s="4"/>
      <c r="O30" s="22">
        <v>7600</v>
      </c>
      <c r="P30" s="6" t="s">
        <v>35</v>
      </c>
      <c r="Q30" s="45" t="s">
        <v>81</v>
      </c>
      <c r="R30" s="63" t="s">
        <v>158</v>
      </c>
      <c r="S30" s="38" t="s">
        <v>79</v>
      </c>
      <c r="T30" s="30"/>
    </row>
    <row r="31" spans="2:20" ht="30.75" hidden="1" customHeight="1">
      <c r="B31" s="259">
        <v>4200</v>
      </c>
      <c r="C31" s="3">
        <v>1000</v>
      </c>
      <c r="D31" s="110">
        <v>16823.82</v>
      </c>
      <c r="E31" s="109"/>
      <c r="F31" s="110"/>
      <c r="G31" s="100">
        <f t="shared" si="6"/>
        <v>66509460</v>
      </c>
      <c r="H31" s="203">
        <f>16823+1000+4200</f>
        <v>22023</v>
      </c>
      <c r="I31" s="40">
        <f t="shared" si="8"/>
        <v>57449460</v>
      </c>
      <c r="J31" s="49">
        <f t="shared" si="9"/>
        <v>19023</v>
      </c>
      <c r="K31" s="6"/>
      <c r="L31" s="4"/>
      <c r="M31" s="191">
        <f t="shared" si="7"/>
        <v>9060000</v>
      </c>
      <c r="N31" s="4">
        <v>3000</v>
      </c>
      <c r="O31" s="22">
        <v>3020</v>
      </c>
      <c r="P31" s="6" t="s">
        <v>35</v>
      </c>
      <c r="Q31" s="46" t="s">
        <v>41</v>
      </c>
      <c r="R31" s="63" t="s">
        <v>158</v>
      </c>
      <c r="S31" s="31" t="s">
        <v>37</v>
      </c>
      <c r="T31" s="29"/>
    </row>
    <row r="32" spans="2:20" ht="30.75" hidden="1" customHeight="1">
      <c r="B32" s="259" t="s">
        <v>267</v>
      </c>
      <c r="C32" s="3" t="s">
        <v>283</v>
      </c>
      <c r="D32" s="110">
        <v>67702.559999999998</v>
      </c>
      <c r="E32" s="109"/>
      <c r="F32" s="110"/>
      <c r="G32" s="100">
        <f t="shared" si="6"/>
        <v>23453030</v>
      </c>
      <c r="H32" s="1">
        <f>67702+4*1000+4200*4</f>
        <v>88502</v>
      </c>
      <c r="I32" s="40">
        <f t="shared" si="8"/>
        <v>20273030</v>
      </c>
      <c r="J32" s="49">
        <f t="shared" si="9"/>
        <v>76502</v>
      </c>
      <c r="K32" s="6"/>
      <c r="L32" s="4"/>
      <c r="M32" s="191">
        <f t="shared" si="7"/>
        <v>3180000</v>
      </c>
      <c r="N32" s="4">
        <v>12000</v>
      </c>
      <c r="O32" s="22">
        <v>265</v>
      </c>
      <c r="P32" s="6" t="s">
        <v>35</v>
      </c>
      <c r="Q32" s="46" t="s">
        <v>42</v>
      </c>
      <c r="R32" s="63" t="s">
        <v>158</v>
      </c>
      <c r="S32" s="31" t="s">
        <v>38</v>
      </c>
      <c r="T32" s="29"/>
    </row>
    <row r="33" spans="2:20" ht="30.75" hidden="1" customHeight="1">
      <c r="B33" s="259" t="s">
        <v>268</v>
      </c>
      <c r="C33" s="3" t="s">
        <v>284</v>
      </c>
      <c r="D33" s="110">
        <v>161360.4</v>
      </c>
      <c r="E33" s="109"/>
      <c r="F33" s="110"/>
      <c r="G33" s="100">
        <f t="shared" si="6"/>
        <v>183612800</v>
      </c>
      <c r="H33" s="1">
        <f>161360+5*1000+4200*5</f>
        <v>187360</v>
      </c>
      <c r="I33" s="40">
        <f t="shared" si="8"/>
        <v>4466840</v>
      </c>
      <c r="J33" s="49">
        <f t="shared" si="9"/>
        <v>4558</v>
      </c>
      <c r="K33" s="6"/>
      <c r="L33" s="4"/>
      <c r="M33" s="191">
        <f t="shared" si="7"/>
        <v>179145960</v>
      </c>
      <c r="N33" s="4">
        <v>182802</v>
      </c>
      <c r="O33" s="22">
        <v>980</v>
      </c>
      <c r="P33" s="6" t="s">
        <v>44</v>
      </c>
      <c r="Q33" s="46" t="s">
        <v>222</v>
      </c>
      <c r="R33" s="63" t="s">
        <v>158</v>
      </c>
      <c r="S33" s="31" t="s">
        <v>39</v>
      </c>
      <c r="T33" s="29"/>
    </row>
    <row r="34" spans="2:20" ht="30.75" hidden="1" customHeight="1">
      <c r="D34" s="110">
        <v>103500</v>
      </c>
      <c r="E34" s="109"/>
      <c r="F34" s="110"/>
      <c r="G34" s="100">
        <f t="shared" si="6"/>
        <v>92632500</v>
      </c>
      <c r="H34" s="1">
        <v>103500</v>
      </c>
      <c r="I34" s="40">
        <f t="shared" si="8"/>
        <v>-10292500</v>
      </c>
      <c r="J34" s="49">
        <f t="shared" si="9"/>
        <v>-11500</v>
      </c>
      <c r="K34" s="6"/>
      <c r="L34" s="4"/>
      <c r="M34" s="191">
        <f t="shared" si="7"/>
        <v>102925000</v>
      </c>
      <c r="N34" s="4">
        <v>115000</v>
      </c>
      <c r="O34" s="22">
        <v>895</v>
      </c>
      <c r="P34" s="6" t="s">
        <v>44</v>
      </c>
      <c r="Q34" s="46" t="s">
        <v>223</v>
      </c>
      <c r="R34" s="63" t="s">
        <v>158</v>
      </c>
      <c r="S34" s="31" t="s">
        <v>221</v>
      </c>
      <c r="T34" s="29"/>
    </row>
    <row r="35" spans="2:20" ht="30.75" hidden="1" customHeight="1">
      <c r="B35" s="259" t="s">
        <v>269</v>
      </c>
      <c r="C35" s="3" t="s">
        <v>285</v>
      </c>
      <c r="D35" s="110">
        <v>8037.38</v>
      </c>
      <c r="E35" s="109"/>
      <c r="F35" s="110"/>
      <c r="G35" s="100">
        <f t="shared" si="6"/>
        <v>14662800</v>
      </c>
      <c r="H35" s="1">
        <f>8037+780*0.5*5+2232</f>
        <v>12219</v>
      </c>
      <c r="I35" s="40">
        <f t="shared" si="8"/>
        <v>14662800</v>
      </c>
      <c r="J35" s="49">
        <f t="shared" si="9"/>
        <v>12219</v>
      </c>
      <c r="K35" s="6"/>
      <c r="L35" s="4"/>
      <c r="M35" s="191">
        <f t="shared" si="7"/>
        <v>0</v>
      </c>
      <c r="N35" s="4"/>
      <c r="O35" s="105">
        <v>1200</v>
      </c>
      <c r="P35" s="10" t="s">
        <v>44</v>
      </c>
      <c r="Q35" s="47" t="s">
        <v>43</v>
      </c>
      <c r="R35" s="63" t="s">
        <v>158</v>
      </c>
      <c r="S35" s="31" t="s">
        <v>40</v>
      </c>
      <c r="T35" s="29"/>
    </row>
    <row r="36" spans="2:20" ht="30.75" hidden="1" customHeight="1">
      <c r="D36" s="110">
        <v>23833.7</v>
      </c>
      <c r="E36" s="109"/>
      <c r="F36" s="110"/>
      <c r="G36" s="100">
        <f t="shared" si="6"/>
        <v>412300000</v>
      </c>
      <c r="H36" s="1">
        <f>H38+H136</f>
        <v>11780</v>
      </c>
      <c r="I36" s="40">
        <f t="shared" si="8"/>
        <v>-791420000</v>
      </c>
      <c r="J36" s="49">
        <f t="shared" si="9"/>
        <v>-22612</v>
      </c>
      <c r="K36" s="6"/>
      <c r="L36" s="4"/>
      <c r="M36" s="192">
        <f t="shared" si="7"/>
        <v>1203720000</v>
      </c>
      <c r="N36" s="4">
        <v>34392</v>
      </c>
      <c r="O36" s="105">
        <v>35000</v>
      </c>
      <c r="P36" s="6" t="s">
        <v>35</v>
      </c>
      <c r="Q36" s="48" t="s">
        <v>225</v>
      </c>
      <c r="R36" s="63" t="s">
        <v>158</v>
      </c>
      <c r="S36" s="31" t="s">
        <v>224</v>
      </c>
      <c r="T36" s="29"/>
    </row>
    <row r="37" spans="2:20" ht="30.75" hidden="1" customHeight="1">
      <c r="D37" s="112"/>
      <c r="E37" s="109"/>
      <c r="F37" s="112"/>
      <c r="G37" s="100">
        <f t="shared" si="6"/>
        <v>2060000</v>
      </c>
      <c r="H37" s="1">
        <v>4000</v>
      </c>
      <c r="I37" s="40">
        <f t="shared" si="8"/>
        <v>2060000</v>
      </c>
      <c r="J37" s="49">
        <f t="shared" si="9"/>
        <v>4000</v>
      </c>
      <c r="K37" s="6"/>
      <c r="L37" s="4"/>
      <c r="M37" s="191">
        <f t="shared" si="7"/>
        <v>0</v>
      </c>
      <c r="N37" s="4"/>
      <c r="O37" s="105">
        <v>515</v>
      </c>
      <c r="P37" s="6" t="s">
        <v>35</v>
      </c>
      <c r="Q37" s="48" t="s">
        <v>154</v>
      </c>
      <c r="R37" s="63" t="s">
        <v>158</v>
      </c>
      <c r="S37" s="31" t="s">
        <v>153</v>
      </c>
      <c r="T37" s="29"/>
    </row>
    <row r="38" spans="2:20" ht="30.75" hidden="1" customHeight="1">
      <c r="D38" s="122">
        <v>4500</v>
      </c>
      <c r="E38" s="109"/>
      <c r="F38" s="122"/>
      <c r="G38" s="100">
        <f t="shared" si="6"/>
        <v>306000000</v>
      </c>
      <c r="H38" s="224">
        <v>4500</v>
      </c>
      <c r="I38" s="40">
        <f t="shared" si="8"/>
        <v>-34000000</v>
      </c>
      <c r="J38" s="49">
        <f>H38-N38</f>
        <v>-500</v>
      </c>
      <c r="K38" s="7"/>
      <c r="L38" s="59"/>
      <c r="M38" s="191">
        <f t="shared" si="7"/>
        <v>340000000</v>
      </c>
      <c r="N38" s="59">
        <v>5000</v>
      </c>
      <c r="O38" s="225">
        <v>68000</v>
      </c>
      <c r="P38" s="6" t="s">
        <v>35</v>
      </c>
      <c r="Q38" s="226" t="s">
        <v>227</v>
      </c>
      <c r="R38" s="63" t="s">
        <v>158</v>
      </c>
      <c r="S38" s="227" t="s">
        <v>226</v>
      </c>
      <c r="T38" s="29"/>
    </row>
    <row r="39" spans="2:20" ht="34.5" hidden="1" customHeight="1" thickBot="1">
      <c r="D39" s="118"/>
      <c r="E39" s="109"/>
      <c r="F39" s="118"/>
      <c r="G39" s="397">
        <f>SUM(G23:G38)</f>
        <v>1343048010</v>
      </c>
      <c r="H39" s="398"/>
      <c r="I39" s="402">
        <f>SUM(I23:I38)</f>
        <v>-644143450</v>
      </c>
      <c r="J39" s="402"/>
      <c r="K39" s="400">
        <f>SUM(K23:K37)</f>
        <v>0</v>
      </c>
      <c r="L39" s="400"/>
      <c r="M39" s="400">
        <f>SUM(M23:M38)</f>
        <v>1987191460</v>
      </c>
      <c r="N39" s="400"/>
      <c r="O39" s="119"/>
      <c r="P39" s="117"/>
      <c r="Q39" s="114" t="s">
        <v>5</v>
      </c>
      <c r="R39" s="8" t="s">
        <v>158</v>
      </c>
      <c r="S39" s="209"/>
      <c r="T39" s="29"/>
    </row>
    <row r="40" spans="2:20" ht="49.5" hidden="1" customHeight="1" thickBot="1">
      <c r="D40" s="13"/>
      <c r="F40" s="13"/>
      <c r="G40" s="101"/>
      <c r="H40" s="44"/>
      <c r="I40" s="51"/>
      <c r="J40" s="51"/>
      <c r="K40" s="44"/>
      <c r="L40" s="44"/>
      <c r="M40" s="101"/>
      <c r="N40" s="44"/>
      <c r="O40" s="106"/>
      <c r="P40" s="44"/>
      <c r="Q40" s="19"/>
      <c r="R40" s="70"/>
      <c r="S40" s="210"/>
      <c r="T40" s="29"/>
    </row>
    <row r="41" spans="2:20" ht="23.25" hidden="1" customHeight="1">
      <c r="D41" s="173"/>
      <c r="F41" s="173"/>
      <c r="G41" s="382" t="s">
        <v>300</v>
      </c>
      <c r="H41" s="382"/>
      <c r="I41" s="382" t="s">
        <v>145</v>
      </c>
      <c r="J41" s="382"/>
      <c r="K41" s="78"/>
      <c r="L41" s="78"/>
      <c r="M41" s="199"/>
      <c r="N41" s="78"/>
      <c r="O41" s="79"/>
      <c r="P41" s="78"/>
      <c r="Q41" s="80" t="s">
        <v>171</v>
      </c>
      <c r="R41" s="41"/>
      <c r="S41" s="219"/>
    </row>
    <row r="42" spans="2:20" ht="23.25" hidden="1" customHeight="1">
      <c r="D42" s="174"/>
      <c r="F42" s="174"/>
      <c r="G42" s="96"/>
      <c r="H42" s="82"/>
      <c r="I42" s="83"/>
      <c r="J42" s="143" t="s">
        <v>146</v>
      </c>
      <c r="K42" s="144"/>
      <c r="L42" s="144"/>
      <c r="M42" s="200"/>
      <c r="N42" s="144"/>
      <c r="O42" s="135"/>
      <c r="P42" s="144"/>
      <c r="Q42" s="84" t="s">
        <v>292</v>
      </c>
      <c r="R42" s="56"/>
      <c r="S42" s="175"/>
    </row>
    <row r="43" spans="2:20" ht="25.5" hidden="1" customHeight="1" thickBot="1">
      <c r="D43" s="176"/>
      <c r="F43" s="176"/>
      <c r="G43" s="145"/>
      <c r="H43" s="136"/>
      <c r="I43" s="146"/>
      <c r="J43" s="146"/>
      <c r="K43" s="136"/>
      <c r="L43" s="136"/>
      <c r="M43" s="145" t="s">
        <v>183</v>
      </c>
      <c r="N43" s="136"/>
      <c r="O43" s="136"/>
      <c r="P43" s="136"/>
      <c r="Q43" s="86" t="s">
        <v>185</v>
      </c>
      <c r="R43" s="42"/>
      <c r="S43" s="220"/>
    </row>
    <row r="44" spans="2:20" ht="25.5" hidden="1" customHeight="1">
      <c r="C44" s="3" t="s">
        <v>288</v>
      </c>
      <c r="D44" s="249">
        <v>462.4</v>
      </c>
      <c r="F44" s="249"/>
      <c r="G44" s="250">
        <f>H44*O44</f>
        <v>44737000</v>
      </c>
      <c r="H44" s="251">
        <f>462+100*7</f>
        <v>1162</v>
      </c>
      <c r="I44" s="40">
        <f>J44*O44</f>
        <v>42427000</v>
      </c>
      <c r="J44" s="268">
        <f>H44-N44</f>
        <v>1102</v>
      </c>
      <c r="K44" s="251"/>
      <c r="L44" s="251"/>
      <c r="M44" s="252">
        <f>N44*O44</f>
        <v>2310000</v>
      </c>
      <c r="N44" s="253">
        <v>60</v>
      </c>
      <c r="O44" s="254">
        <v>38500</v>
      </c>
      <c r="P44" s="255" t="s">
        <v>187</v>
      </c>
      <c r="Q44" s="256" t="s">
        <v>229</v>
      </c>
      <c r="R44" s="257"/>
      <c r="S44" s="258" t="s">
        <v>228</v>
      </c>
    </row>
    <row r="45" spans="2:20" ht="30.75" hidden="1" customHeight="1">
      <c r="B45" s="259">
        <v>1099</v>
      </c>
      <c r="D45" s="228">
        <v>900</v>
      </c>
      <c r="E45" s="109"/>
      <c r="F45" s="228"/>
      <c r="G45" s="100">
        <f t="shared" ref="G45:G58" si="10">H45*O45</f>
        <v>184307800</v>
      </c>
      <c r="H45" s="1">
        <f>900+1099</f>
        <v>1999</v>
      </c>
      <c r="I45" s="40">
        <f t="shared" ref="I45:I58" si="11">J45*O45</f>
        <v>168910400</v>
      </c>
      <c r="J45" s="49">
        <f t="shared" ref="J45:J58" si="12">H45-N45</f>
        <v>1832</v>
      </c>
      <c r="K45" s="1"/>
      <c r="L45" s="1"/>
      <c r="M45" s="242">
        <f t="shared" ref="M45:M58" si="13">N45*O45</f>
        <v>15397400</v>
      </c>
      <c r="N45" s="231">
        <v>167</v>
      </c>
      <c r="O45" s="232">
        <v>92200</v>
      </c>
      <c r="P45" s="229" t="s">
        <v>187</v>
      </c>
      <c r="Q45" s="230" t="s">
        <v>186</v>
      </c>
      <c r="R45" s="63"/>
      <c r="S45" s="34" t="s">
        <v>230</v>
      </c>
    </row>
    <row r="46" spans="2:20" ht="30.75" hidden="1" customHeight="1">
      <c r="D46" s="111"/>
      <c r="E46" s="109"/>
      <c r="F46" s="111"/>
      <c r="G46" s="100">
        <f t="shared" si="10"/>
        <v>0</v>
      </c>
      <c r="H46" s="1"/>
      <c r="I46" s="40">
        <f t="shared" si="11"/>
        <v>0</v>
      </c>
      <c r="J46" s="49">
        <f t="shared" si="12"/>
        <v>0</v>
      </c>
      <c r="K46" s="4"/>
      <c r="L46" s="4"/>
      <c r="M46" s="242">
        <f t="shared" si="13"/>
        <v>0</v>
      </c>
      <c r="N46" s="231"/>
      <c r="O46" s="233">
        <v>104000</v>
      </c>
      <c r="P46" s="152" t="s">
        <v>187</v>
      </c>
      <c r="Q46" s="123" t="s">
        <v>188</v>
      </c>
      <c r="R46" s="63" t="s">
        <v>158</v>
      </c>
      <c r="S46" s="38" t="s">
        <v>83</v>
      </c>
    </row>
    <row r="47" spans="2:20" ht="30.75" hidden="1" customHeight="1">
      <c r="D47" s="111"/>
      <c r="E47" s="109"/>
      <c r="F47" s="111"/>
      <c r="G47" s="100">
        <f t="shared" si="10"/>
        <v>0</v>
      </c>
      <c r="H47" s="1"/>
      <c r="I47" s="40">
        <f t="shared" si="11"/>
        <v>0</v>
      </c>
      <c r="J47" s="49">
        <f t="shared" si="12"/>
        <v>0</v>
      </c>
      <c r="K47" s="4"/>
      <c r="L47" s="4"/>
      <c r="M47" s="242">
        <f t="shared" si="13"/>
        <v>0</v>
      </c>
      <c r="N47" s="231"/>
      <c r="O47" s="234">
        <v>259500</v>
      </c>
      <c r="P47" s="153" t="s">
        <v>187</v>
      </c>
      <c r="Q47" s="124" t="s">
        <v>189</v>
      </c>
      <c r="R47" s="63" t="s">
        <v>158</v>
      </c>
      <c r="S47" s="38" t="s">
        <v>180</v>
      </c>
    </row>
    <row r="48" spans="2:20" ht="30.75" hidden="1" customHeight="1">
      <c r="B48" s="259">
        <v>2000</v>
      </c>
      <c r="D48" s="111">
        <v>1897.39</v>
      </c>
      <c r="E48" s="109"/>
      <c r="F48" s="111"/>
      <c r="G48" s="100">
        <f t="shared" si="10"/>
        <v>1077511000</v>
      </c>
      <c r="H48" s="1">
        <f>1897+2200</f>
        <v>4097</v>
      </c>
      <c r="I48" s="40">
        <f t="shared" si="11"/>
        <v>827398000</v>
      </c>
      <c r="J48" s="49">
        <f t="shared" si="12"/>
        <v>3146</v>
      </c>
      <c r="K48" s="4"/>
      <c r="L48" s="4"/>
      <c r="M48" s="242">
        <f t="shared" si="13"/>
        <v>250113000</v>
      </c>
      <c r="N48" s="231">
        <v>951</v>
      </c>
      <c r="O48" s="235">
        <v>263000</v>
      </c>
      <c r="P48" s="154" t="s">
        <v>187</v>
      </c>
      <c r="Q48" s="125" t="s">
        <v>190</v>
      </c>
      <c r="R48" s="63" t="s">
        <v>158</v>
      </c>
      <c r="S48" s="38" t="s">
        <v>172</v>
      </c>
    </row>
    <row r="49" spans="2:20" ht="30.75" hidden="1" customHeight="1">
      <c r="B49" s="259">
        <v>2000</v>
      </c>
      <c r="D49" s="111">
        <v>1860.03</v>
      </c>
      <c r="E49" s="109"/>
      <c r="F49" s="111"/>
      <c r="G49" s="100">
        <f t="shared" si="10"/>
        <v>220458000</v>
      </c>
      <c r="H49" s="1">
        <f>1860+2200</f>
        <v>4060</v>
      </c>
      <c r="I49" s="40">
        <f t="shared" si="11"/>
        <v>168818700</v>
      </c>
      <c r="J49" s="49">
        <f t="shared" si="12"/>
        <v>3109</v>
      </c>
      <c r="K49" s="4"/>
      <c r="L49" s="4"/>
      <c r="M49" s="242">
        <f t="shared" si="13"/>
        <v>51639300</v>
      </c>
      <c r="N49" s="231">
        <v>951</v>
      </c>
      <c r="O49" s="236">
        <v>54300</v>
      </c>
      <c r="P49" s="155" t="s">
        <v>187</v>
      </c>
      <c r="Q49" s="126" t="s">
        <v>191</v>
      </c>
      <c r="R49" s="63" t="s">
        <v>158</v>
      </c>
      <c r="S49" s="38" t="s">
        <v>173</v>
      </c>
    </row>
    <row r="50" spans="2:20" ht="30.75" hidden="1" customHeight="1">
      <c r="B50" s="259">
        <v>1400</v>
      </c>
      <c r="D50" s="111">
        <v>1964.98</v>
      </c>
      <c r="E50" s="109"/>
      <c r="F50" s="111"/>
      <c r="G50" s="100">
        <f t="shared" si="10"/>
        <v>225388000</v>
      </c>
      <c r="H50" s="1">
        <f>1964+1400</f>
        <v>3364</v>
      </c>
      <c r="I50" s="40">
        <f t="shared" si="11"/>
        <v>134469000</v>
      </c>
      <c r="J50" s="49">
        <f t="shared" si="12"/>
        <v>2007</v>
      </c>
      <c r="K50" s="4"/>
      <c r="L50" s="4"/>
      <c r="M50" s="242">
        <f t="shared" si="13"/>
        <v>90919000</v>
      </c>
      <c r="N50" s="231">
        <v>1357</v>
      </c>
      <c r="O50" s="237">
        <v>67000</v>
      </c>
      <c r="P50" s="156" t="s">
        <v>82</v>
      </c>
      <c r="Q50" s="127" t="s">
        <v>215</v>
      </c>
      <c r="R50" s="63" t="s">
        <v>158</v>
      </c>
      <c r="S50" s="38" t="s">
        <v>214</v>
      </c>
    </row>
    <row r="51" spans="2:20" ht="30.75" hidden="1" customHeight="1">
      <c r="D51" s="111"/>
      <c r="E51" s="109"/>
      <c r="F51" s="111"/>
      <c r="G51" s="100">
        <f t="shared" si="10"/>
        <v>0</v>
      </c>
      <c r="H51" s="1"/>
      <c r="I51" s="40">
        <f t="shared" si="11"/>
        <v>0</v>
      </c>
      <c r="J51" s="49">
        <f t="shared" si="12"/>
        <v>0</v>
      </c>
      <c r="K51" s="4"/>
      <c r="L51" s="4"/>
      <c r="M51" s="242">
        <f t="shared" si="13"/>
        <v>0</v>
      </c>
      <c r="N51" s="231"/>
      <c r="O51" s="238">
        <v>24300</v>
      </c>
      <c r="P51" s="157" t="s">
        <v>187</v>
      </c>
      <c r="Q51" s="128" t="s">
        <v>192</v>
      </c>
      <c r="R51" s="63" t="s">
        <v>158</v>
      </c>
      <c r="S51" s="38" t="s">
        <v>174</v>
      </c>
    </row>
    <row r="52" spans="2:20" ht="30.75" hidden="1" customHeight="1">
      <c r="D52" s="111"/>
      <c r="E52" s="109"/>
      <c r="F52" s="111"/>
      <c r="G52" s="100">
        <f t="shared" si="10"/>
        <v>0</v>
      </c>
      <c r="H52" s="1"/>
      <c r="I52" s="40">
        <f t="shared" si="11"/>
        <v>0</v>
      </c>
      <c r="J52" s="49">
        <f t="shared" si="12"/>
        <v>0</v>
      </c>
      <c r="K52" s="4"/>
      <c r="L52" s="4"/>
      <c r="M52" s="242">
        <f t="shared" si="13"/>
        <v>0</v>
      </c>
      <c r="N52" s="231"/>
      <c r="O52" s="238">
        <v>664000</v>
      </c>
      <c r="P52" s="157" t="s">
        <v>187</v>
      </c>
      <c r="Q52" s="128" t="s">
        <v>261</v>
      </c>
      <c r="R52" s="63" t="s">
        <v>158</v>
      </c>
      <c r="S52" s="38" t="s">
        <v>260</v>
      </c>
    </row>
    <row r="53" spans="2:20" ht="30.75" hidden="1" customHeight="1">
      <c r="B53" s="259">
        <v>70</v>
      </c>
      <c r="D53" s="111"/>
      <c r="E53" s="109"/>
      <c r="F53" s="111"/>
      <c r="G53" s="100">
        <f t="shared" si="10"/>
        <v>2394000</v>
      </c>
      <c r="H53" s="1">
        <v>70</v>
      </c>
      <c r="I53" s="40">
        <f t="shared" si="11"/>
        <v>2394000</v>
      </c>
      <c r="J53" s="49">
        <f t="shared" si="12"/>
        <v>70</v>
      </c>
      <c r="K53" s="4"/>
      <c r="L53" s="4"/>
      <c r="M53" s="242">
        <f t="shared" si="13"/>
        <v>0</v>
      </c>
      <c r="N53" s="231"/>
      <c r="O53" s="238">
        <v>34200</v>
      </c>
      <c r="P53" s="157" t="s">
        <v>187</v>
      </c>
      <c r="Q53" s="262" t="s">
        <v>259</v>
      </c>
      <c r="R53" s="63" t="s">
        <v>158</v>
      </c>
      <c r="S53" s="38" t="s">
        <v>258</v>
      </c>
    </row>
    <row r="54" spans="2:20" ht="30.75" hidden="1" customHeight="1">
      <c r="D54" s="111">
        <v>328.27</v>
      </c>
      <c r="E54" s="109"/>
      <c r="F54" s="111"/>
      <c r="G54" s="100">
        <f t="shared" si="10"/>
        <v>9118400</v>
      </c>
      <c r="H54" s="1">
        <f>328</f>
        <v>328</v>
      </c>
      <c r="I54" s="40">
        <f t="shared" si="11"/>
        <v>3558400</v>
      </c>
      <c r="J54" s="49">
        <f t="shared" si="12"/>
        <v>128</v>
      </c>
      <c r="K54" s="4"/>
      <c r="L54" s="4"/>
      <c r="M54" s="242">
        <f t="shared" si="13"/>
        <v>5560000</v>
      </c>
      <c r="N54" s="231">
        <v>200</v>
      </c>
      <c r="O54" s="239">
        <v>27800</v>
      </c>
      <c r="P54" s="157" t="s">
        <v>187</v>
      </c>
      <c r="Q54" s="129" t="s">
        <v>194</v>
      </c>
      <c r="R54" s="63" t="s">
        <v>158</v>
      </c>
      <c r="S54" s="38" t="s">
        <v>175</v>
      </c>
    </row>
    <row r="55" spans="2:20" ht="30.75" hidden="1" customHeight="1">
      <c r="D55" s="111">
        <v>964.17</v>
      </c>
      <c r="E55" s="109"/>
      <c r="F55" s="111"/>
      <c r="G55" s="100">
        <f t="shared" si="10"/>
        <v>29787600</v>
      </c>
      <c r="H55" s="1">
        <v>964</v>
      </c>
      <c r="I55" s="40">
        <f t="shared" si="11"/>
        <v>2163000</v>
      </c>
      <c r="J55" s="49">
        <f t="shared" si="12"/>
        <v>70</v>
      </c>
      <c r="K55" s="4"/>
      <c r="L55" s="4"/>
      <c r="M55" s="242">
        <f t="shared" si="13"/>
        <v>27624600</v>
      </c>
      <c r="N55" s="231">
        <v>894</v>
      </c>
      <c r="O55" s="240">
        <v>30900</v>
      </c>
      <c r="P55" s="158" t="s">
        <v>82</v>
      </c>
      <c r="Q55" s="130" t="s">
        <v>193</v>
      </c>
      <c r="R55" s="63" t="s">
        <v>158</v>
      </c>
      <c r="S55" s="38" t="s">
        <v>176</v>
      </c>
    </row>
    <row r="56" spans="2:20" ht="30.75" hidden="1" customHeight="1">
      <c r="B56" s="259" t="s">
        <v>293</v>
      </c>
      <c r="C56" s="3" t="s">
        <v>289</v>
      </c>
      <c r="D56" s="110">
        <v>27261</v>
      </c>
      <c r="E56" s="109"/>
      <c r="F56" s="110"/>
      <c r="G56" s="100">
        <f t="shared" si="10"/>
        <v>55821780</v>
      </c>
      <c r="H56" s="1">
        <f>27261+700*9+2000*9*1.3</f>
        <v>56961</v>
      </c>
      <c r="I56" s="40">
        <f t="shared" si="11"/>
        <v>44388120</v>
      </c>
      <c r="J56" s="49">
        <f t="shared" si="12"/>
        <v>45294</v>
      </c>
      <c r="K56" s="4"/>
      <c r="L56" s="4"/>
      <c r="M56" s="242">
        <f t="shared" si="13"/>
        <v>11433660</v>
      </c>
      <c r="N56" s="231">
        <v>11667</v>
      </c>
      <c r="O56" s="241">
        <v>980</v>
      </c>
      <c r="P56" s="6" t="s">
        <v>44</v>
      </c>
      <c r="Q56" s="45" t="s">
        <v>84</v>
      </c>
      <c r="R56" s="63" t="s">
        <v>158</v>
      </c>
      <c r="S56" s="38" t="s">
        <v>85</v>
      </c>
    </row>
    <row r="57" spans="2:20" ht="30.75" hidden="1" customHeight="1">
      <c r="B57" s="259" t="s">
        <v>294</v>
      </c>
      <c r="C57" s="3" t="s">
        <v>290</v>
      </c>
      <c r="D57" s="110">
        <v>76580.14</v>
      </c>
      <c r="E57" s="109"/>
      <c r="F57" s="110"/>
      <c r="G57" s="100">
        <f t="shared" si="10"/>
        <v>127609100</v>
      </c>
      <c r="H57" s="1">
        <f>76580+700*20+2000*20*1.3</f>
        <v>142580</v>
      </c>
      <c r="I57" s="40">
        <f t="shared" si="11"/>
        <v>104405330</v>
      </c>
      <c r="J57" s="49">
        <f t="shared" si="12"/>
        <v>116654</v>
      </c>
      <c r="K57" s="4"/>
      <c r="L57" s="4"/>
      <c r="M57" s="242">
        <f t="shared" si="13"/>
        <v>23203770</v>
      </c>
      <c r="N57" s="231">
        <v>25926</v>
      </c>
      <c r="O57" s="241">
        <v>895</v>
      </c>
      <c r="P57" s="6" t="s">
        <v>44</v>
      </c>
      <c r="Q57" s="45" t="s">
        <v>181</v>
      </c>
      <c r="R57" s="63" t="s">
        <v>158</v>
      </c>
      <c r="S57" s="38" t="s">
        <v>128</v>
      </c>
    </row>
    <row r="58" spans="2:20" ht="30.75" hidden="1" customHeight="1">
      <c r="B58" s="259" t="s">
        <v>295</v>
      </c>
      <c r="D58" s="122">
        <v>53865.71</v>
      </c>
      <c r="E58" s="109"/>
      <c r="F58" s="122"/>
      <c r="G58" s="100">
        <f t="shared" si="10"/>
        <v>68257475</v>
      </c>
      <c r="H58" s="58">
        <f>53865+2000*16*1.3</f>
        <v>95465</v>
      </c>
      <c r="I58" s="40">
        <f t="shared" si="11"/>
        <v>54114060</v>
      </c>
      <c r="J58" s="49">
        <f t="shared" si="12"/>
        <v>75684</v>
      </c>
      <c r="K58" s="59"/>
      <c r="L58" s="59"/>
      <c r="M58" s="242">
        <f t="shared" si="13"/>
        <v>14143415</v>
      </c>
      <c r="N58" s="231">
        <v>19781</v>
      </c>
      <c r="O58" s="241">
        <v>715</v>
      </c>
      <c r="P58" s="6" t="s">
        <v>44</v>
      </c>
      <c r="Q58" s="45" t="s">
        <v>157</v>
      </c>
      <c r="R58" s="63" t="s">
        <v>158</v>
      </c>
      <c r="S58" s="61" t="s">
        <v>156</v>
      </c>
    </row>
    <row r="59" spans="2:20" ht="36.75" hidden="1" customHeight="1" thickBot="1">
      <c r="D59" s="131"/>
      <c r="F59" s="131"/>
      <c r="G59" s="397">
        <f>SUM(G44:G58)</f>
        <v>2045390155</v>
      </c>
      <c r="H59" s="398"/>
      <c r="I59" s="399">
        <f>SUM(I44:I58)</f>
        <v>1553046010</v>
      </c>
      <c r="J59" s="399"/>
      <c r="K59" s="411">
        <f>SUM(K46:K57)</f>
        <v>0</v>
      </c>
      <c r="L59" s="411"/>
      <c r="M59" s="411">
        <f>SUM(M44:M58)</f>
        <v>492344145</v>
      </c>
      <c r="N59" s="411"/>
      <c r="O59" s="133"/>
      <c r="P59" s="132"/>
      <c r="Q59" s="134" t="s">
        <v>86</v>
      </c>
      <c r="R59" s="8" t="s">
        <v>158</v>
      </c>
      <c r="S59" s="209"/>
      <c r="T59" s="29"/>
    </row>
    <row r="60" spans="2:20" ht="49.5" hidden="1" customHeight="1" thickBot="1">
      <c r="D60" s="89"/>
      <c r="F60" s="89"/>
      <c r="G60" s="102"/>
      <c r="H60" s="92"/>
      <c r="I60" s="93"/>
      <c r="J60" s="93"/>
      <c r="K60" s="92"/>
      <c r="L60" s="92"/>
      <c r="M60" s="102"/>
      <c r="N60" s="92"/>
      <c r="O60" s="107"/>
      <c r="P60" s="92"/>
      <c r="Q60" s="94"/>
      <c r="R60" s="69"/>
      <c r="S60" s="211"/>
      <c r="T60" s="29"/>
    </row>
    <row r="61" spans="2:20" ht="23.25" hidden="1" customHeight="1">
      <c r="D61" s="77"/>
      <c r="F61" s="173"/>
      <c r="G61" s="382" t="s">
        <v>300</v>
      </c>
      <c r="H61" s="382"/>
      <c r="I61" s="382" t="s">
        <v>145</v>
      </c>
      <c r="J61" s="382"/>
      <c r="K61" s="78"/>
      <c r="L61" s="78"/>
      <c r="M61" s="199"/>
      <c r="N61" s="78"/>
      <c r="O61" s="79"/>
      <c r="P61" s="78"/>
      <c r="Q61" s="80" t="s">
        <v>171</v>
      </c>
      <c r="R61" s="41"/>
      <c r="S61" s="219"/>
    </row>
    <row r="62" spans="2:20" ht="23.25" hidden="1" customHeight="1">
      <c r="D62" s="81"/>
      <c r="F62" s="174"/>
      <c r="G62" s="96"/>
      <c r="H62" s="82"/>
      <c r="I62" s="83"/>
      <c r="J62" s="143" t="s">
        <v>146</v>
      </c>
      <c r="K62" s="144"/>
      <c r="L62" s="144"/>
      <c r="M62" s="200"/>
      <c r="N62" s="144"/>
      <c r="O62" s="135"/>
      <c r="P62" s="144"/>
      <c r="Q62" s="84" t="s">
        <v>292</v>
      </c>
      <c r="R62" s="56"/>
      <c r="S62" s="175"/>
    </row>
    <row r="63" spans="2:20" ht="23.25" hidden="1" customHeight="1" thickBot="1">
      <c r="D63" s="85"/>
      <c r="F63" s="85"/>
      <c r="G63" s="145"/>
      <c r="H63" s="136"/>
      <c r="I63" s="146"/>
      <c r="J63" s="146"/>
      <c r="K63" s="136"/>
      <c r="L63" s="136"/>
      <c r="M63" s="145" t="s">
        <v>183</v>
      </c>
      <c r="N63" s="136"/>
      <c r="O63" s="136"/>
      <c r="P63" s="136"/>
      <c r="Q63" s="86" t="s">
        <v>195</v>
      </c>
      <c r="R63" s="42"/>
      <c r="S63" s="205"/>
    </row>
    <row r="64" spans="2:20" ht="25.5" hidden="1" customHeight="1">
      <c r="D64" s="385" t="s">
        <v>144</v>
      </c>
      <c r="F64" s="385" t="s">
        <v>144</v>
      </c>
      <c r="G64" s="406" t="s">
        <v>63</v>
      </c>
      <c r="H64" s="406"/>
      <c r="I64" s="409" t="s">
        <v>170</v>
      </c>
      <c r="J64" s="409"/>
      <c r="K64" s="401" t="s">
        <v>2</v>
      </c>
      <c r="L64" s="401"/>
      <c r="M64" s="401" t="s">
        <v>169</v>
      </c>
      <c r="N64" s="401"/>
      <c r="O64" s="426" t="s">
        <v>139</v>
      </c>
      <c r="P64" s="401" t="s">
        <v>1</v>
      </c>
      <c r="Q64" s="401" t="s">
        <v>138</v>
      </c>
      <c r="R64" s="62"/>
      <c r="S64" s="424" t="s">
        <v>0</v>
      </c>
    </row>
    <row r="65" spans="2:20" ht="25.5" hidden="1" customHeight="1">
      <c r="D65" s="386"/>
      <c r="F65" s="386"/>
      <c r="G65" s="97" t="s">
        <v>143</v>
      </c>
      <c r="H65" s="49" t="s">
        <v>142</v>
      </c>
      <c r="I65" s="49" t="s">
        <v>143</v>
      </c>
      <c r="J65" s="49" t="s">
        <v>142</v>
      </c>
      <c r="K65" s="1" t="s">
        <v>4</v>
      </c>
      <c r="L65" s="1" t="s">
        <v>3</v>
      </c>
      <c r="M65" s="100" t="s">
        <v>141</v>
      </c>
      <c r="N65" s="1" t="s">
        <v>140</v>
      </c>
      <c r="O65" s="427"/>
      <c r="P65" s="422"/>
      <c r="Q65" s="422"/>
      <c r="R65" s="2"/>
      <c r="S65" s="425"/>
    </row>
    <row r="66" spans="2:20" ht="34.5" hidden="1" customHeight="1">
      <c r="D66" s="35"/>
      <c r="F66" s="35"/>
      <c r="G66" s="100">
        <f>H66*O66</f>
        <v>0</v>
      </c>
      <c r="H66" s="1"/>
      <c r="I66" s="40">
        <f>J66*O66</f>
        <v>0</v>
      </c>
      <c r="J66" s="49">
        <f>H66-N66</f>
        <v>0</v>
      </c>
      <c r="K66" s="6"/>
      <c r="L66" s="4"/>
      <c r="M66" s="191"/>
      <c r="N66" s="4"/>
      <c r="O66" s="147">
        <v>25900</v>
      </c>
      <c r="P66" s="159" t="s">
        <v>82</v>
      </c>
      <c r="Q66" s="137" t="s">
        <v>196</v>
      </c>
      <c r="R66" s="63" t="s">
        <v>158</v>
      </c>
      <c r="S66" s="38" t="s">
        <v>177</v>
      </c>
      <c r="T66" s="29"/>
    </row>
    <row r="67" spans="2:20" ht="34.5" hidden="1" customHeight="1">
      <c r="D67" s="35"/>
      <c r="F67" s="35"/>
      <c r="G67" s="100">
        <f>H67*O67</f>
        <v>0</v>
      </c>
      <c r="H67" s="1"/>
      <c r="I67" s="40">
        <f>J67*O67</f>
        <v>0</v>
      </c>
      <c r="J67" s="49">
        <f>H67-N67</f>
        <v>0</v>
      </c>
      <c r="K67" s="6"/>
      <c r="L67" s="4"/>
      <c r="M67" s="191"/>
      <c r="N67" s="4"/>
      <c r="O67" s="148">
        <v>39700</v>
      </c>
      <c r="P67" s="160" t="s">
        <v>82</v>
      </c>
      <c r="Q67" s="138" t="s">
        <v>197</v>
      </c>
      <c r="R67" s="63" t="s">
        <v>158</v>
      </c>
      <c r="S67" s="38" t="s">
        <v>178</v>
      </c>
      <c r="T67" s="29"/>
    </row>
    <row r="68" spans="2:20" ht="34.5" hidden="1" customHeight="1">
      <c r="B68" s="259">
        <v>1613</v>
      </c>
      <c r="D68" s="35">
        <v>1964.98</v>
      </c>
      <c r="F68" s="35"/>
      <c r="G68" s="100">
        <f>H68*O68</f>
        <v>29689100</v>
      </c>
      <c r="H68" s="1">
        <f>1964+1613</f>
        <v>3577</v>
      </c>
      <c r="I68" s="40">
        <f>J68*O68</f>
        <v>18426000</v>
      </c>
      <c r="J68" s="49">
        <f>H68-N68</f>
        <v>2220</v>
      </c>
      <c r="K68" s="6"/>
      <c r="L68" s="4"/>
      <c r="M68" s="191">
        <f>N68*O68</f>
        <v>11263100</v>
      </c>
      <c r="N68" s="4">
        <v>1357</v>
      </c>
      <c r="O68" s="149">
        <v>8300</v>
      </c>
      <c r="P68" s="161" t="s">
        <v>82</v>
      </c>
      <c r="Q68" s="222" t="s">
        <v>217</v>
      </c>
      <c r="R68" s="63" t="s">
        <v>158</v>
      </c>
      <c r="S68" s="38" t="s">
        <v>216</v>
      </c>
      <c r="T68" s="29"/>
    </row>
    <row r="69" spans="2:20" ht="34.5" hidden="1" customHeight="1">
      <c r="D69" s="35">
        <v>333.12</v>
      </c>
      <c r="F69" s="35"/>
      <c r="G69" s="100">
        <f>H69*O69</f>
        <v>1698300</v>
      </c>
      <c r="H69" s="1">
        <v>333</v>
      </c>
      <c r="I69" s="40">
        <f>J69*O69</f>
        <v>234600</v>
      </c>
      <c r="J69" s="49">
        <f>H69-N69</f>
        <v>46</v>
      </c>
      <c r="K69" s="6"/>
      <c r="L69" s="4"/>
      <c r="M69" s="191">
        <f>N69*O69</f>
        <v>1463700</v>
      </c>
      <c r="N69" s="4">
        <v>287</v>
      </c>
      <c r="O69" s="150">
        <v>5100</v>
      </c>
      <c r="P69" s="162" t="s">
        <v>82</v>
      </c>
      <c r="Q69" s="139" t="s">
        <v>198</v>
      </c>
      <c r="R69" s="63" t="s">
        <v>158</v>
      </c>
      <c r="S69" s="38" t="s">
        <v>179</v>
      </c>
      <c r="T69" s="29"/>
    </row>
    <row r="70" spans="2:20" ht="33.75" hidden="1" customHeight="1" thickBot="1">
      <c r="D70" s="21"/>
      <c r="F70" s="21"/>
      <c r="G70" s="395">
        <f>SUM(G66:G69)</f>
        <v>31387400</v>
      </c>
      <c r="H70" s="396"/>
      <c r="I70" s="416">
        <f>SUM(I66:I69)</f>
        <v>18660600</v>
      </c>
      <c r="J70" s="417"/>
      <c r="K70" s="8">
        <f>L70*O70</f>
        <v>0</v>
      </c>
      <c r="L70" s="15"/>
      <c r="M70" s="418">
        <f>SUM(M68:M69)</f>
        <v>12726800</v>
      </c>
      <c r="N70" s="419"/>
      <c r="O70" s="23"/>
      <c r="P70" s="8"/>
      <c r="Q70" s="134" t="s">
        <v>199</v>
      </c>
      <c r="R70" s="120" t="s">
        <v>158</v>
      </c>
      <c r="S70" s="121"/>
      <c r="T70" s="29"/>
    </row>
    <row r="71" spans="2:20" ht="25.5" hidden="1" customHeight="1" thickBot="1">
      <c r="D71" s="85"/>
      <c r="F71" s="85"/>
      <c r="G71" s="145"/>
      <c r="H71" s="136"/>
      <c r="I71" s="146"/>
      <c r="J71" s="146"/>
      <c r="K71" s="136"/>
      <c r="L71" s="136"/>
      <c r="M71" s="145" t="s">
        <v>183</v>
      </c>
      <c r="N71" s="136"/>
      <c r="O71" s="136"/>
      <c r="P71" s="136"/>
      <c r="Q71" s="86" t="s">
        <v>200</v>
      </c>
      <c r="R71" s="42"/>
      <c r="S71" s="205"/>
    </row>
    <row r="72" spans="2:20" ht="30" hidden="1" customHeight="1">
      <c r="B72" s="259" t="s">
        <v>262</v>
      </c>
      <c r="C72" s="3">
        <v>300</v>
      </c>
      <c r="D72" s="91">
        <v>184.4</v>
      </c>
      <c r="F72" s="91"/>
      <c r="G72" s="141">
        <f>H72*O72</f>
        <v>50483200</v>
      </c>
      <c r="H72" s="49">
        <f>184+300+540</f>
        <v>1024</v>
      </c>
      <c r="I72" s="40">
        <f>J72*O72</f>
        <v>39144200</v>
      </c>
      <c r="J72" s="49">
        <f>H72-N72</f>
        <v>794</v>
      </c>
      <c r="K72" s="1"/>
      <c r="L72" s="1"/>
      <c r="M72" s="243">
        <f>N72*O72</f>
        <v>11339000</v>
      </c>
      <c r="N72" s="244">
        <v>230</v>
      </c>
      <c r="O72" s="151">
        <v>49300</v>
      </c>
      <c r="P72" s="163" t="s">
        <v>82</v>
      </c>
      <c r="Q72" s="140" t="s">
        <v>201</v>
      </c>
      <c r="R72" s="63" t="s">
        <v>158</v>
      </c>
      <c r="S72" s="212">
        <v>80101</v>
      </c>
    </row>
    <row r="73" spans="2:20" ht="33" hidden="1" customHeight="1">
      <c r="C73" s="3">
        <v>30</v>
      </c>
      <c r="D73" s="20"/>
      <c r="F73" s="20"/>
      <c r="G73" s="141">
        <f t="shared" ref="G73:G82" si="14">H73*O73</f>
        <v>2082000</v>
      </c>
      <c r="H73" s="1">
        <v>30</v>
      </c>
      <c r="I73" s="40">
        <f t="shared" ref="I73:I82" si="15">J73*O73</f>
        <v>2082000</v>
      </c>
      <c r="J73" s="49">
        <f t="shared" ref="J73:J82" si="16">H73-N73</f>
        <v>30</v>
      </c>
      <c r="K73" s="6"/>
      <c r="L73" s="4"/>
      <c r="M73" s="243">
        <f t="shared" ref="M73:M82" si="17">N73*O73</f>
        <v>0</v>
      </c>
      <c r="N73" s="245"/>
      <c r="O73" s="246">
        <v>69400</v>
      </c>
      <c r="P73" s="6" t="s">
        <v>36</v>
      </c>
      <c r="Q73" s="45" t="s">
        <v>203</v>
      </c>
      <c r="R73" s="63" t="s">
        <v>158</v>
      </c>
      <c r="S73" s="38" t="s">
        <v>114</v>
      </c>
    </row>
    <row r="74" spans="2:20" ht="33" hidden="1" customHeight="1">
      <c r="C74" s="3">
        <v>100</v>
      </c>
      <c r="D74" s="20"/>
      <c r="F74" s="20"/>
      <c r="G74" s="141">
        <f t="shared" si="14"/>
        <v>9650000</v>
      </c>
      <c r="H74" s="1">
        <v>100</v>
      </c>
      <c r="I74" s="40">
        <f t="shared" si="15"/>
        <v>-59830000</v>
      </c>
      <c r="J74" s="49">
        <f t="shared" si="16"/>
        <v>-620</v>
      </c>
      <c r="K74" s="6"/>
      <c r="L74" s="4"/>
      <c r="M74" s="243">
        <f t="shared" si="17"/>
        <v>69480000</v>
      </c>
      <c r="N74" s="245">
        <v>720</v>
      </c>
      <c r="O74" s="246">
        <v>96500</v>
      </c>
      <c r="P74" s="6" t="s">
        <v>36</v>
      </c>
      <c r="Q74" s="45" t="s">
        <v>104</v>
      </c>
      <c r="R74" s="63" t="s">
        <v>158</v>
      </c>
      <c r="S74" s="38" t="s">
        <v>103</v>
      </c>
    </row>
    <row r="75" spans="2:20" ht="33" hidden="1" customHeight="1">
      <c r="C75" s="266">
        <v>600</v>
      </c>
      <c r="D75" s="20"/>
      <c r="F75" s="20"/>
      <c r="G75" s="141">
        <f t="shared" si="14"/>
        <v>53750000</v>
      </c>
      <c r="H75" s="1">
        <v>500</v>
      </c>
      <c r="I75" s="40">
        <f t="shared" si="15"/>
        <v>53750000</v>
      </c>
      <c r="J75" s="49">
        <f t="shared" si="16"/>
        <v>500</v>
      </c>
      <c r="K75" s="6"/>
      <c r="L75" s="4"/>
      <c r="M75" s="243">
        <f t="shared" si="17"/>
        <v>0</v>
      </c>
      <c r="N75" s="245"/>
      <c r="O75" s="246">
        <v>107500</v>
      </c>
      <c r="P75" s="6" t="s">
        <v>36</v>
      </c>
      <c r="Q75" s="45" t="s">
        <v>130</v>
      </c>
      <c r="R75" s="63" t="s">
        <v>158</v>
      </c>
      <c r="S75" s="38" t="s">
        <v>129</v>
      </c>
    </row>
    <row r="76" spans="2:20" ht="33" hidden="1" customHeight="1">
      <c r="C76" s="266">
        <v>470</v>
      </c>
      <c r="D76" s="20"/>
      <c r="F76" s="20"/>
      <c r="G76" s="141">
        <f t="shared" si="14"/>
        <v>42000000</v>
      </c>
      <c r="H76" s="1">
        <v>350</v>
      </c>
      <c r="I76" s="40">
        <f t="shared" si="15"/>
        <v>42000000</v>
      </c>
      <c r="J76" s="49">
        <f t="shared" si="16"/>
        <v>350</v>
      </c>
      <c r="K76" s="6"/>
      <c r="L76" s="4"/>
      <c r="M76" s="243">
        <f t="shared" si="17"/>
        <v>0</v>
      </c>
      <c r="N76" s="245"/>
      <c r="O76" s="246">
        <v>120000</v>
      </c>
      <c r="P76" s="6" t="s">
        <v>36</v>
      </c>
      <c r="Q76" s="45" t="s">
        <v>116</v>
      </c>
      <c r="R76" s="63" t="s">
        <v>158</v>
      </c>
      <c r="S76" s="38" t="s">
        <v>115</v>
      </c>
    </row>
    <row r="77" spans="2:20" ht="33" hidden="1" customHeight="1">
      <c r="D77" s="20">
        <v>1521.75</v>
      </c>
      <c r="F77" s="20"/>
      <c r="G77" s="141">
        <f t="shared" si="14"/>
        <v>238036500</v>
      </c>
      <c r="H77" s="1">
        <v>1521</v>
      </c>
      <c r="I77" s="40">
        <f t="shared" si="15"/>
        <v>-5164500</v>
      </c>
      <c r="J77" s="49">
        <f t="shared" si="16"/>
        <v>-33</v>
      </c>
      <c r="K77" s="6"/>
      <c r="L77" s="4"/>
      <c r="M77" s="243">
        <f t="shared" si="17"/>
        <v>243201000</v>
      </c>
      <c r="N77" s="245">
        <v>1554</v>
      </c>
      <c r="O77" s="246">
        <v>156500</v>
      </c>
      <c r="P77" s="6" t="s">
        <v>36</v>
      </c>
      <c r="Q77" s="45" t="s">
        <v>232</v>
      </c>
      <c r="R77" s="63" t="s">
        <v>158</v>
      </c>
      <c r="S77" s="38" t="s">
        <v>231</v>
      </c>
    </row>
    <row r="78" spans="2:20" ht="33" hidden="1" customHeight="1">
      <c r="D78" s="20"/>
      <c r="F78" s="20"/>
      <c r="G78" s="141">
        <f t="shared" si="14"/>
        <v>0</v>
      </c>
      <c r="H78" s="1"/>
      <c r="I78" s="40">
        <f t="shared" si="15"/>
        <v>0</v>
      </c>
      <c r="J78" s="49">
        <f t="shared" si="16"/>
        <v>0</v>
      </c>
      <c r="K78" s="6"/>
      <c r="L78" s="4"/>
      <c r="M78" s="243">
        <f t="shared" si="17"/>
        <v>0</v>
      </c>
      <c r="N78" s="245"/>
      <c r="O78" s="246">
        <v>37500</v>
      </c>
      <c r="P78" s="6" t="s">
        <v>36</v>
      </c>
      <c r="Q78" s="45" t="s">
        <v>147</v>
      </c>
      <c r="R78" s="63" t="s">
        <v>158</v>
      </c>
      <c r="S78" s="36" t="s">
        <v>132</v>
      </c>
    </row>
    <row r="79" spans="2:20" ht="33" hidden="1" customHeight="1">
      <c r="D79" s="20"/>
      <c r="F79" s="20"/>
      <c r="G79" s="141">
        <f t="shared" si="14"/>
        <v>0</v>
      </c>
      <c r="H79" s="1"/>
      <c r="I79" s="40">
        <f t="shared" si="15"/>
        <v>0</v>
      </c>
      <c r="J79" s="49">
        <f t="shared" si="16"/>
        <v>0</v>
      </c>
      <c r="K79" s="6"/>
      <c r="L79" s="4"/>
      <c r="M79" s="243">
        <f t="shared" si="17"/>
        <v>0</v>
      </c>
      <c r="N79" s="245"/>
      <c r="O79" s="246">
        <v>32400</v>
      </c>
      <c r="P79" s="6" t="s">
        <v>36</v>
      </c>
      <c r="Q79" s="45" t="s">
        <v>133</v>
      </c>
      <c r="R79" s="63" t="s">
        <v>158</v>
      </c>
      <c r="S79" s="36" t="s">
        <v>131</v>
      </c>
    </row>
    <row r="80" spans="2:20" ht="33" hidden="1" customHeight="1">
      <c r="D80" s="20"/>
      <c r="F80" s="20"/>
      <c r="G80" s="141">
        <f t="shared" si="14"/>
        <v>0</v>
      </c>
      <c r="H80" s="1"/>
      <c r="I80" s="40">
        <f t="shared" si="15"/>
        <v>0</v>
      </c>
      <c r="J80" s="49">
        <f t="shared" si="16"/>
        <v>0</v>
      </c>
      <c r="K80" s="6"/>
      <c r="L80" s="4"/>
      <c r="M80" s="243">
        <f t="shared" si="17"/>
        <v>0</v>
      </c>
      <c r="N80" s="245"/>
      <c r="O80" s="246">
        <v>13400</v>
      </c>
      <c r="P80" s="6" t="s">
        <v>36</v>
      </c>
      <c r="Q80" s="46" t="s">
        <v>90</v>
      </c>
      <c r="R80" s="63" t="s">
        <v>158</v>
      </c>
      <c r="S80" s="36" t="s">
        <v>88</v>
      </c>
    </row>
    <row r="81" spans="2:19" ht="33" hidden="1" customHeight="1">
      <c r="B81" s="259">
        <v>5520</v>
      </c>
      <c r="C81" s="3">
        <v>3500</v>
      </c>
      <c r="D81" s="20">
        <v>7547.5</v>
      </c>
      <c r="F81" s="20"/>
      <c r="G81" s="141">
        <f t="shared" si="14"/>
        <v>88799120</v>
      </c>
      <c r="H81" s="1">
        <f>7547+3500+5520</f>
        <v>16567</v>
      </c>
      <c r="I81" s="40">
        <f t="shared" si="15"/>
        <v>84484320</v>
      </c>
      <c r="J81" s="49">
        <f t="shared" si="16"/>
        <v>15762</v>
      </c>
      <c r="K81" s="6"/>
      <c r="L81" s="4"/>
      <c r="M81" s="243">
        <f t="shared" si="17"/>
        <v>4314800</v>
      </c>
      <c r="N81" s="245">
        <v>805</v>
      </c>
      <c r="O81" s="246">
        <v>5360</v>
      </c>
      <c r="P81" s="4" t="s">
        <v>47</v>
      </c>
      <c r="Q81" s="46" t="s">
        <v>46</v>
      </c>
      <c r="R81" s="63" t="s">
        <v>158</v>
      </c>
      <c r="S81" s="36" t="s">
        <v>45</v>
      </c>
    </row>
    <row r="82" spans="2:19" ht="33" hidden="1" customHeight="1">
      <c r="C82" s="3">
        <v>300</v>
      </c>
      <c r="D82" s="20"/>
      <c r="F82" s="20"/>
      <c r="G82" s="141">
        <f t="shared" si="14"/>
        <v>18960000</v>
      </c>
      <c r="H82" s="1">
        <v>300</v>
      </c>
      <c r="I82" s="40">
        <f t="shared" si="15"/>
        <v>18960000</v>
      </c>
      <c r="J82" s="49">
        <f t="shared" si="16"/>
        <v>300</v>
      </c>
      <c r="K82" s="6"/>
      <c r="L82" s="4"/>
      <c r="M82" s="243">
        <f t="shared" si="17"/>
        <v>0</v>
      </c>
      <c r="N82" s="245"/>
      <c r="O82" s="246">
        <v>63200</v>
      </c>
      <c r="P82" s="6" t="s">
        <v>36</v>
      </c>
      <c r="Q82" s="46" t="s">
        <v>87</v>
      </c>
      <c r="R82" s="63" t="s">
        <v>158</v>
      </c>
      <c r="S82" s="36" t="s">
        <v>89</v>
      </c>
    </row>
    <row r="83" spans="2:19" ht="33" hidden="1" customHeight="1" thickBot="1">
      <c r="D83" s="142"/>
      <c r="F83" s="142"/>
      <c r="G83" s="412">
        <f>SUM(G72:G82)</f>
        <v>503760820</v>
      </c>
      <c r="H83" s="413"/>
      <c r="I83" s="399">
        <f>SUM(I72:I82)</f>
        <v>175426020</v>
      </c>
      <c r="J83" s="399"/>
      <c r="K83" s="411">
        <f>SUM(K71:K82)</f>
        <v>0</v>
      </c>
      <c r="L83" s="411"/>
      <c r="M83" s="411">
        <f>SUM(M72:M82)</f>
        <v>328334800</v>
      </c>
      <c r="N83" s="411"/>
      <c r="O83" s="133"/>
      <c r="P83" s="132"/>
      <c r="Q83" s="132" t="s">
        <v>6</v>
      </c>
      <c r="R83" s="8"/>
      <c r="S83" s="209"/>
    </row>
    <row r="84" spans="2:19" ht="49.5" hidden="1" customHeight="1" thickBot="1">
      <c r="D84" s="13"/>
      <c r="F84" s="13"/>
      <c r="G84" s="99"/>
      <c r="H84" s="37"/>
      <c r="I84" s="50"/>
      <c r="J84" s="50"/>
      <c r="K84" s="37"/>
      <c r="L84" s="37"/>
      <c r="M84" s="99"/>
      <c r="N84" s="37"/>
      <c r="O84" s="24"/>
      <c r="P84" s="9"/>
      <c r="Q84" s="9"/>
      <c r="R84" s="70"/>
      <c r="S84" s="208"/>
    </row>
    <row r="85" spans="2:19" ht="25.5" hidden="1" customHeight="1">
      <c r="D85" s="77"/>
      <c r="F85" s="173"/>
      <c r="G85" s="382" t="s">
        <v>300</v>
      </c>
      <c r="H85" s="382"/>
      <c r="I85" s="382" t="s">
        <v>145</v>
      </c>
      <c r="J85" s="382"/>
      <c r="K85" s="78"/>
      <c r="L85" s="78"/>
      <c r="M85" s="199"/>
      <c r="N85" s="78"/>
      <c r="O85" s="79"/>
      <c r="P85" s="78"/>
      <c r="Q85" s="80" t="s">
        <v>171</v>
      </c>
      <c r="R85" s="41"/>
      <c r="S85" s="219"/>
    </row>
    <row r="86" spans="2:19" ht="25.5" hidden="1" customHeight="1">
      <c r="D86" s="81"/>
      <c r="F86" s="174"/>
      <c r="G86" s="96"/>
      <c r="H86" s="82"/>
      <c r="I86" s="83"/>
      <c r="J86" s="143" t="s">
        <v>146</v>
      </c>
      <c r="K86" s="144"/>
      <c r="L86" s="144"/>
      <c r="M86" s="200"/>
      <c r="N86" s="144"/>
      <c r="O86" s="135"/>
      <c r="P86" s="144"/>
      <c r="Q86" s="84" t="s">
        <v>292</v>
      </c>
      <c r="R86" s="56"/>
      <c r="S86" s="175"/>
    </row>
    <row r="87" spans="2:19" ht="25.5" hidden="1" customHeight="1" thickBot="1">
      <c r="D87" s="85"/>
      <c r="F87" s="85"/>
      <c r="G87" s="145"/>
      <c r="H87" s="136"/>
      <c r="I87" s="146"/>
      <c r="J87" s="146"/>
      <c r="K87" s="136"/>
      <c r="L87" s="136"/>
      <c r="M87" s="145" t="s">
        <v>183</v>
      </c>
      <c r="N87" s="136"/>
      <c r="O87" s="136"/>
      <c r="P87" s="136"/>
      <c r="Q87" s="86" t="s">
        <v>202</v>
      </c>
      <c r="R87" s="42"/>
      <c r="S87" s="205"/>
    </row>
    <row r="88" spans="2:19" ht="30" hidden="1" customHeight="1">
      <c r="D88" s="385" t="s">
        <v>144</v>
      </c>
      <c r="F88" s="385"/>
      <c r="G88" s="406" t="s">
        <v>63</v>
      </c>
      <c r="H88" s="406"/>
      <c r="I88" s="409" t="s">
        <v>170</v>
      </c>
      <c r="J88" s="409"/>
      <c r="K88" s="401" t="s">
        <v>2</v>
      </c>
      <c r="L88" s="401"/>
      <c r="M88" s="401" t="s">
        <v>169</v>
      </c>
      <c r="N88" s="401"/>
      <c r="O88" s="426" t="s">
        <v>139</v>
      </c>
      <c r="P88" s="401" t="s">
        <v>1</v>
      </c>
      <c r="Q88" s="401" t="s">
        <v>138</v>
      </c>
      <c r="R88" s="63"/>
      <c r="S88" s="424" t="s">
        <v>0</v>
      </c>
    </row>
    <row r="89" spans="2:19" ht="30" hidden="1" customHeight="1">
      <c r="D89" s="386"/>
      <c r="F89" s="386"/>
      <c r="G89" s="97" t="s">
        <v>143</v>
      </c>
      <c r="H89" s="49" t="s">
        <v>142</v>
      </c>
      <c r="I89" s="49" t="s">
        <v>143</v>
      </c>
      <c r="J89" s="49" t="s">
        <v>142</v>
      </c>
      <c r="K89" s="1" t="s">
        <v>4</v>
      </c>
      <c r="L89" s="1" t="s">
        <v>3</v>
      </c>
      <c r="M89" s="100" t="s">
        <v>141</v>
      </c>
      <c r="N89" s="1" t="s">
        <v>140</v>
      </c>
      <c r="O89" s="427"/>
      <c r="P89" s="422"/>
      <c r="Q89" s="422"/>
      <c r="R89" s="63"/>
      <c r="S89" s="425"/>
    </row>
    <row r="90" spans="2:19" ht="31.5" hidden="1" customHeight="1">
      <c r="D90" s="20">
        <v>7265</v>
      </c>
      <c r="F90" s="20"/>
      <c r="G90" s="100">
        <f>H90*O90</f>
        <v>58410600</v>
      </c>
      <c r="H90" s="1">
        <v>7265</v>
      </c>
      <c r="I90" s="40">
        <f>J90*O90</f>
        <v>3770760</v>
      </c>
      <c r="J90" s="49">
        <f>H90-N90</f>
        <v>469</v>
      </c>
      <c r="K90" s="4"/>
      <c r="L90" s="4"/>
      <c r="M90" s="191">
        <f>N90*O90</f>
        <v>54639840</v>
      </c>
      <c r="N90" s="4">
        <v>6796</v>
      </c>
      <c r="O90" s="22">
        <v>8040</v>
      </c>
      <c r="P90" s="4" t="s">
        <v>48</v>
      </c>
      <c r="Q90" s="6" t="s">
        <v>94</v>
      </c>
      <c r="R90" s="63" t="s">
        <v>158</v>
      </c>
      <c r="S90" s="36" t="s">
        <v>91</v>
      </c>
    </row>
    <row r="91" spans="2:19" ht="31.5" hidden="1" customHeight="1">
      <c r="D91" s="20">
        <v>53957.8</v>
      </c>
      <c r="F91" s="20"/>
      <c r="G91" s="100">
        <f>H91*O91</f>
        <v>349637805.00666648</v>
      </c>
      <c r="H91" s="267">
        <v>54974.497642557624</v>
      </c>
      <c r="I91" s="40">
        <f>J91*O91</f>
        <v>17779365.006666489</v>
      </c>
      <c r="J91" s="49">
        <f>H91-N91</f>
        <v>2795.4976425576242</v>
      </c>
      <c r="K91" s="4"/>
      <c r="L91" s="4"/>
      <c r="M91" s="191">
        <f>N91*O91</f>
        <v>331858440</v>
      </c>
      <c r="N91" s="4">
        <v>52179</v>
      </c>
      <c r="O91" s="22">
        <v>6360</v>
      </c>
      <c r="P91" s="4" t="s">
        <v>48</v>
      </c>
      <c r="Q91" s="6" t="s">
        <v>95</v>
      </c>
      <c r="R91" s="63" t="s">
        <v>158</v>
      </c>
      <c r="S91" s="36" t="s">
        <v>92</v>
      </c>
    </row>
    <row r="92" spans="2:19" ht="31.5" hidden="1" customHeight="1">
      <c r="B92" s="259" t="s">
        <v>263</v>
      </c>
      <c r="D92" s="20">
        <v>27030.59</v>
      </c>
      <c r="F92" s="20"/>
      <c r="G92" s="100">
        <f>H92*O92</f>
        <v>171782280</v>
      </c>
      <c r="H92" s="223">
        <v>28069</v>
      </c>
      <c r="I92" s="40">
        <f>J92*O92</f>
        <v>171782280</v>
      </c>
      <c r="J92" s="49">
        <f>H92-N92</f>
        <v>28069</v>
      </c>
      <c r="K92" s="4"/>
      <c r="L92" s="4"/>
      <c r="M92" s="191">
        <f>N92*O92</f>
        <v>0</v>
      </c>
      <c r="N92" s="4"/>
      <c r="O92" s="22">
        <v>6120</v>
      </c>
      <c r="P92" s="4" t="s">
        <v>48</v>
      </c>
      <c r="Q92" s="4" t="s">
        <v>96</v>
      </c>
      <c r="R92" s="63" t="s">
        <v>158</v>
      </c>
      <c r="S92" s="36" t="s">
        <v>93</v>
      </c>
    </row>
    <row r="93" spans="2:19" ht="31.5" hidden="1" customHeight="1">
      <c r="D93" s="20"/>
      <c r="F93" s="20"/>
      <c r="G93" s="100">
        <f>H93*O93</f>
        <v>0</v>
      </c>
      <c r="H93" s="1"/>
      <c r="I93" s="40">
        <f>J93*O93</f>
        <v>0</v>
      </c>
      <c r="J93" s="49">
        <f>H93-N93</f>
        <v>0</v>
      </c>
      <c r="K93" s="4"/>
      <c r="L93" s="4"/>
      <c r="M93" s="191">
        <f>N93*O93</f>
        <v>0</v>
      </c>
      <c r="N93" s="4"/>
      <c r="O93" s="22">
        <v>325</v>
      </c>
      <c r="P93" s="4" t="s">
        <v>48</v>
      </c>
      <c r="Q93" s="4" t="s">
        <v>118</v>
      </c>
      <c r="R93" s="63" t="s">
        <v>158</v>
      </c>
      <c r="S93" s="36" t="s">
        <v>117</v>
      </c>
    </row>
    <row r="94" spans="2:19" ht="31.5" hidden="1" customHeight="1">
      <c r="D94" s="20"/>
      <c r="F94" s="20"/>
      <c r="G94" s="100">
        <f>H94*O94</f>
        <v>0</v>
      </c>
      <c r="H94" s="1"/>
      <c r="I94" s="40">
        <f>J94*O94</f>
        <v>0</v>
      </c>
      <c r="J94" s="49">
        <f>H94-N94</f>
        <v>0</v>
      </c>
      <c r="K94" s="4"/>
      <c r="L94" s="4"/>
      <c r="M94" s="191">
        <f>N94*O94</f>
        <v>0</v>
      </c>
      <c r="N94" s="4"/>
      <c r="O94" s="22">
        <v>12600</v>
      </c>
      <c r="P94" s="4" t="s">
        <v>48</v>
      </c>
      <c r="Q94" s="45" t="s">
        <v>135</v>
      </c>
      <c r="R94" s="63" t="s">
        <v>158</v>
      </c>
      <c r="S94" s="36" t="s">
        <v>134</v>
      </c>
    </row>
    <row r="95" spans="2:19" ht="31.5" hidden="1" customHeight="1" thickBot="1">
      <c r="D95" s="57"/>
      <c r="F95" s="57"/>
      <c r="G95" s="414">
        <f>SUM(G90:G94)</f>
        <v>579830685.00666642</v>
      </c>
      <c r="H95" s="415"/>
      <c r="I95" s="430">
        <f>SUM(I90:I94)</f>
        <v>193332405.00666648</v>
      </c>
      <c r="J95" s="430"/>
      <c r="K95" s="423">
        <f>SUM(K90:K94)</f>
        <v>0</v>
      </c>
      <c r="L95" s="423"/>
      <c r="M95" s="423">
        <f>SUM(M90:M94)</f>
        <v>386498280</v>
      </c>
      <c r="N95" s="423"/>
      <c r="O95" s="423"/>
      <c r="P95" s="423"/>
      <c r="Q95" s="164" t="s">
        <v>7</v>
      </c>
      <c r="R95" s="165"/>
      <c r="S95" s="213"/>
    </row>
    <row r="96" spans="2:19" ht="27.75" hidden="1" customHeight="1">
      <c r="D96" s="186"/>
      <c r="F96" s="186"/>
      <c r="G96" s="187"/>
      <c r="H96" s="188"/>
      <c r="I96" s="189"/>
      <c r="J96" s="189"/>
      <c r="K96" s="188"/>
      <c r="L96" s="188"/>
      <c r="M96" s="201" t="s">
        <v>183</v>
      </c>
      <c r="N96" s="188"/>
      <c r="O96" s="190"/>
      <c r="P96" s="188"/>
      <c r="Q96" s="188" t="s">
        <v>8</v>
      </c>
      <c r="R96" s="188"/>
      <c r="S96" s="215"/>
    </row>
    <row r="97" spans="2:20" ht="28.5" hidden="1" customHeight="1">
      <c r="D97" s="5">
        <v>650</v>
      </c>
      <c r="F97" s="5"/>
      <c r="G97" s="191">
        <f>H97*O97</f>
        <v>11505000</v>
      </c>
      <c r="H97" s="1">
        <v>650</v>
      </c>
      <c r="I97" s="40">
        <f>J97*O97</f>
        <v>11505000</v>
      </c>
      <c r="J97" s="49">
        <f>H97-N97</f>
        <v>650</v>
      </c>
      <c r="K97" s="6"/>
      <c r="L97" s="4"/>
      <c r="M97" s="191"/>
      <c r="N97" s="4"/>
      <c r="O97" s="22">
        <v>17700</v>
      </c>
      <c r="P97" s="6" t="s">
        <v>48</v>
      </c>
      <c r="Q97" s="45" t="s">
        <v>250</v>
      </c>
      <c r="R97" s="6" t="s">
        <v>158</v>
      </c>
      <c r="S97" s="34" t="s">
        <v>249</v>
      </c>
    </row>
    <row r="98" spans="2:20" ht="28.5" hidden="1" customHeight="1">
      <c r="D98" s="5"/>
      <c r="F98" s="5"/>
      <c r="G98" s="191">
        <f>H98*O98</f>
        <v>0</v>
      </c>
      <c r="H98" s="1"/>
      <c r="I98" s="40">
        <f>J98*O98</f>
        <v>0</v>
      </c>
      <c r="J98" s="49">
        <f>H98-N98</f>
        <v>0</v>
      </c>
      <c r="K98" s="6"/>
      <c r="L98" s="4"/>
      <c r="M98" s="191"/>
      <c r="N98" s="4"/>
      <c r="O98" s="22">
        <v>12500</v>
      </c>
      <c r="P98" s="6" t="s">
        <v>48</v>
      </c>
      <c r="Q98" s="45" t="s">
        <v>119</v>
      </c>
      <c r="R98" s="6" t="s">
        <v>158</v>
      </c>
      <c r="S98" s="207">
        <v>110301</v>
      </c>
      <c r="T98" s="27"/>
    </row>
    <row r="99" spans="2:20" ht="28.5" hidden="1" customHeight="1" thickBot="1">
      <c r="D99" s="185">
        <v>1220</v>
      </c>
      <c r="F99" s="185"/>
      <c r="G99" s="191">
        <f>H99*O99</f>
        <v>54900000</v>
      </c>
      <c r="H99" s="43">
        <v>1220</v>
      </c>
      <c r="I99" s="40">
        <f>J99*O99</f>
        <v>900000</v>
      </c>
      <c r="J99" s="49">
        <f>H99-N99</f>
        <v>20</v>
      </c>
      <c r="K99" s="8"/>
      <c r="L99" s="15"/>
      <c r="M99" s="197">
        <f>N99*O99</f>
        <v>54000000</v>
      </c>
      <c r="N99" s="15">
        <v>1200</v>
      </c>
      <c r="O99" s="23">
        <v>45000</v>
      </c>
      <c r="P99" s="8" t="s">
        <v>48</v>
      </c>
      <c r="Q99" s="198" t="s">
        <v>233</v>
      </c>
      <c r="R99" s="8" t="s">
        <v>159</v>
      </c>
      <c r="S99" s="209">
        <v>110304</v>
      </c>
      <c r="T99" s="27"/>
    </row>
    <row r="100" spans="2:20" ht="28.5" hidden="1" customHeight="1" thickBot="1">
      <c r="D100" s="193"/>
      <c r="F100" s="193"/>
      <c r="G100" s="404">
        <f>SUM(G97:G99)</f>
        <v>66405000</v>
      </c>
      <c r="H100" s="405"/>
      <c r="I100" s="410">
        <f>SUM(I97:I99)</f>
        <v>12405000</v>
      </c>
      <c r="J100" s="410"/>
      <c r="K100" s="431">
        <f>SUM(K97:K99)</f>
        <v>0</v>
      </c>
      <c r="L100" s="431"/>
      <c r="M100" s="431">
        <f>SUM(M97:M99)</f>
        <v>54000000</v>
      </c>
      <c r="N100" s="431"/>
      <c r="O100" s="195"/>
      <c r="P100" s="194"/>
      <c r="Q100" s="194" t="s">
        <v>10</v>
      </c>
      <c r="R100" s="196"/>
      <c r="S100" s="216"/>
    </row>
    <row r="101" spans="2:20" ht="49.5" hidden="1" customHeight="1" thickBot="1">
      <c r="G101" s="101"/>
      <c r="H101" s="17"/>
      <c r="I101" s="52"/>
      <c r="J101" s="52"/>
      <c r="K101" s="17"/>
      <c r="L101" s="17"/>
      <c r="M101" s="101"/>
      <c r="N101" s="17"/>
      <c r="O101" s="24"/>
      <c r="P101" s="17"/>
      <c r="Q101" s="18"/>
      <c r="R101" s="18"/>
      <c r="S101" s="210"/>
    </row>
    <row r="102" spans="2:20" ht="25.5" hidden="1" customHeight="1">
      <c r="D102" s="77"/>
      <c r="F102" s="173"/>
      <c r="G102" s="382" t="s">
        <v>300</v>
      </c>
      <c r="H102" s="382"/>
      <c r="I102" s="382" t="s">
        <v>145</v>
      </c>
      <c r="J102" s="382"/>
      <c r="K102" s="78"/>
      <c r="L102" s="78"/>
      <c r="M102" s="199"/>
      <c r="N102" s="78"/>
      <c r="O102" s="79"/>
      <c r="P102" s="78"/>
      <c r="Q102" s="80" t="s">
        <v>171</v>
      </c>
      <c r="R102" s="41"/>
      <c r="S102" s="219"/>
    </row>
    <row r="103" spans="2:20" ht="25.5" hidden="1" customHeight="1">
      <c r="D103" s="81"/>
      <c r="F103" s="174"/>
      <c r="G103" s="96"/>
      <c r="H103" s="82"/>
      <c r="I103" s="83"/>
      <c r="J103" s="143" t="s">
        <v>146</v>
      </c>
      <c r="K103" s="144"/>
      <c r="L103" s="144"/>
      <c r="M103" s="200"/>
      <c r="N103" s="144"/>
      <c r="O103" s="135"/>
      <c r="P103" s="144"/>
      <c r="Q103" s="84" t="s">
        <v>292</v>
      </c>
      <c r="R103" s="56"/>
      <c r="S103" s="175"/>
    </row>
    <row r="104" spans="2:20" ht="25.5" hidden="1" customHeight="1" thickBot="1">
      <c r="D104" s="85"/>
      <c r="F104" s="85"/>
      <c r="G104" s="145"/>
      <c r="H104" s="136"/>
      <c r="I104" s="146"/>
      <c r="J104" s="146"/>
      <c r="K104" s="136"/>
      <c r="L104" s="136"/>
      <c r="M104" s="202" t="s">
        <v>183</v>
      </c>
      <c r="N104" s="136"/>
      <c r="O104" s="136"/>
      <c r="P104" s="136"/>
      <c r="Q104" s="86" t="s">
        <v>206</v>
      </c>
      <c r="R104" s="42"/>
      <c r="S104" s="205"/>
    </row>
    <row r="105" spans="2:20" ht="30" hidden="1" customHeight="1">
      <c r="D105" s="385" t="s">
        <v>144</v>
      </c>
      <c r="F105" s="385" t="s">
        <v>144</v>
      </c>
      <c r="G105" s="406" t="s">
        <v>63</v>
      </c>
      <c r="H105" s="406"/>
      <c r="I105" s="409" t="s">
        <v>170</v>
      </c>
      <c r="J105" s="409"/>
      <c r="K105" s="401" t="s">
        <v>2</v>
      </c>
      <c r="L105" s="401"/>
      <c r="M105" s="401" t="s">
        <v>169</v>
      </c>
      <c r="N105" s="401"/>
      <c r="O105" s="426" t="s">
        <v>139</v>
      </c>
      <c r="P105" s="401" t="s">
        <v>1</v>
      </c>
      <c r="Q105" s="401" t="s">
        <v>138</v>
      </c>
      <c r="R105" s="62"/>
      <c r="S105" s="424" t="s">
        <v>0</v>
      </c>
    </row>
    <row r="106" spans="2:20" ht="30" hidden="1" customHeight="1">
      <c r="D106" s="386"/>
      <c r="F106" s="386"/>
      <c r="G106" s="97" t="s">
        <v>143</v>
      </c>
      <c r="H106" s="49" t="s">
        <v>142</v>
      </c>
      <c r="I106" s="49" t="s">
        <v>143</v>
      </c>
      <c r="J106" s="49" t="s">
        <v>142</v>
      </c>
      <c r="K106" s="1" t="s">
        <v>4</v>
      </c>
      <c r="L106" s="1" t="s">
        <v>3</v>
      </c>
      <c r="M106" s="100" t="s">
        <v>141</v>
      </c>
      <c r="N106" s="1" t="s">
        <v>140</v>
      </c>
      <c r="O106" s="427"/>
      <c r="P106" s="422"/>
      <c r="Q106" s="422"/>
      <c r="R106" s="2"/>
      <c r="S106" s="425"/>
    </row>
    <row r="107" spans="2:20" ht="30" hidden="1" customHeight="1">
      <c r="D107" s="55"/>
      <c r="F107" s="55"/>
      <c r="G107" s="100">
        <f>H107*O107</f>
        <v>0</v>
      </c>
      <c r="H107" s="49"/>
      <c r="I107" s="40">
        <f>J107*O107</f>
        <v>0</v>
      </c>
      <c r="J107" s="49">
        <f>H107-N107</f>
        <v>0</v>
      </c>
      <c r="K107" s="1"/>
      <c r="L107" s="1"/>
      <c r="M107" s="191">
        <f>N107*O107</f>
        <v>0</v>
      </c>
      <c r="N107" s="1"/>
      <c r="O107" s="22">
        <v>220000</v>
      </c>
      <c r="P107" s="6" t="s">
        <v>35</v>
      </c>
      <c r="Q107" s="45" t="s">
        <v>219</v>
      </c>
      <c r="R107" s="2"/>
      <c r="S107" s="34" t="s">
        <v>218</v>
      </c>
    </row>
    <row r="108" spans="2:20" ht="39" hidden="1" customHeight="1">
      <c r="D108" s="20"/>
      <c r="F108" s="20"/>
      <c r="G108" s="100">
        <f t="shared" ref="G108:G123" si="18">H108*O108</f>
        <v>0</v>
      </c>
      <c r="H108" s="1"/>
      <c r="I108" s="40">
        <f t="shared" ref="I108:I123" si="19">J108*O108</f>
        <v>0</v>
      </c>
      <c r="J108" s="49">
        <f t="shared" ref="J108:J123" si="20">H108-N108</f>
        <v>0</v>
      </c>
      <c r="K108" s="6"/>
      <c r="L108" s="6"/>
      <c r="M108" s="191">
        <f t="shared" ref="M108:M123" si="21">N108*O108</f>
        <v>0</v>
      </c>
      <c r="N108" s="6"/>
      <c r="O108" s="22">
        <v>249500</v>
      </c>
      <c r="P108" s="6" t="s">
        <v>35</v>
      </c>
      <c r="Q108" s="45" t="s">
        <v>182</v>
      </c>
      <c r="R108" s="66" t="s">
        <v>158</v>
      </c>
      <c r="S108" s="34">
        <v>120103</v>
      </c>
    </row>
    <row r="109" spans="2:20" ht="39" hidden="1" customHeight="1">
      <c r="B109" s="259">
        <v>893</v>
      </c>
      <c r="C109" s="3">
        <v>2150</v>
      </c>
      <c r="D109" s="20">
        <v>416.5</v>
      </c>
      <c r="F109" s="20"/>
      <c r="G109" s="100">
        <f t="shared" si="18"/>
        <v>970249500</v>
      </c>
      <c r="H109" s="1">
        <f>416+2150+893</f>
        <v>3459</v>
      </c>
      <c r="I109" s="40">
        <f t="shared" si="19"/>
        <v>754264500</v>
      </c>
      <c r="J109" s="49">
        <f t="shared" si="20"/>
        <v>2689</v>
      </c>
      <c r="K109" s="6"/>
      <c r="L109" s="6"/>
      <c r="M109" s="191">
        <f t="shared" si="21"/>
        <v>215985000</v>
      </c>
      <c r="N109" s="6">
        <v>770</v>
      </c>
      <c r="O109" s="22">
        <v>280500</v>
      </c>
      <c r="P109" s="6" t="s">
        <v>35</v>
      </c>
      <c r="Q109" s="46" t="s">
        <v>120</v>
      </c>
      <c r="R109" s="66" t="s">
        <v>158</v>
      </c>
      <c r="S109" s="34">
        <v>120104</v>
      </c>
    </row>
    <row r="110" spans="2:20" ht="39" hidden="1" customHeight="1">
      <c r="D110" s="20">
        <v>92.36</v>
      </c>
      <c r="F110" s="20"/>
      <c r="G110" s="100">
        <f t="shared" si="18"/>
        <v>31096000</v>
      </c>
      <c r="H110" s="1">
        <v>92</v>
      </c>
      <c r="I110" s="40">
        <f t="shared" si="19"/>
        <v>0</v>
      </c>
      <c r="J110" s="49">
        <f t="shared" si="20"/>
        <v>0</v>
      </c>
      <c r="K110" s="6"/>
      <c r="L110" s="6"/>
      <c r="M110" s="191">
        <f t="shared" si="21"/>
        <v>31096000</v>
      </c>
      <c r="N110" s="4">
        <v>92</v>
      </c>
      <c r="O110" s="22">
        <v>338000</v>
      </c>
      <c r="P110" s="6" t="s">
        <v>35</v>
      </c>
      <c r="Q110" s="46" t="s">
        <v>51</v>
      </c>
      <c r="R110" s="66" t="s">
        <v>158</v>
      </c>
      <c r="S110" s="207" t="s">
        <v>49</v>
      </c>
    </row>
    <row r="111" spans="2:20" ht="39" hidden="1" customHeight="1">
      <c r="D111" s="20">
        <v>708.39</v>
      </c>
      <c r="F111" s="20"/>
      <c r="G111" s="100">
        <f t="shared" si="18"/>
        <v>258774000</v>
      </c>
      <c r="H111" s="1">
        <v>708</v>
      </c>
      <c r="I111" s="40">
        <f t="shared" si="19"/>
        <v>-17909500</v>
      </c>
      <c r="J111" s="49">
        <f t="shared" si="20"/>
        <v>-49</v>
      </c>
      <c r="K111" s="6"/>
      <c r="L111" s="6"/>
      <c r="M111" s="191">
        <f t="shared" si="21"/>
        <v>276683500</v>
      </c>
      <c r="N111" s="4">
        <v>757</v>
      </c>
      <c r="O111" s="22">
        <v>365500</v>
      </c>
      <c r="P111" s="6" t="s">
        <v>35</v>
      </c>
      <c r="Q111" s="46" t="s">
        <v>160</v>
      </c>
      <c r="R111" s="66" t="s">
        <v>158</v>
      </c>
      <c r="S111" s="207">
        <v>120107</v>
      </c>
    </row>
    <row r="112" spans="2:20" ht="39" hidden="1" customHeight="1">
      <c r="D112" s="20"/>
      <c r="F112" s="20"/>
      <c r="G112" s="100">
        <f t="shared" si="18"/>
        <v>0</v>
      </c>
      <c r="H112" s="1"/>
      <c r="I112" s="40">
        <f t="shared" si="19"/>
        <v>0</v>
      </c>
      <c r="J112" s="49">
        <f t="shared" si="20"/>
        <v>0</v>
      </c>
      <c r="K112" s="6"/>
      <c r="L112" s="6"/>
      <c r="M112" s="191">
        <f t="shared" si="21"/>
        <v>0</v>
      </c>
      <c r="N112" s="4"/>
      <c r="O112" s="22">
        <v>25400</v>
      </c>
      <c r="P112" s="6" t="s">
        <v>35</v>
      </c>
      <c r="Q112" s="46" t="s">
        <v>161</v>
      </c>
      <c r="R112" s="66" t="s">
        <v>158</v>
      </c>
      <c r="S112" s="207">
        <v>120110</v>
      </c>
    </row>
    <row r="113" spans="2:19" ht="39" hidden="1" customHeight="1">
      <c r="C113" s="3">
        <v>1800</v>
      </c>
      <c r="D113" s="20">
        <v>118.37</v>
      </c>
      <c r="F113" s="20"/>
      <c r="G113" s="100">
        <f t="shared" si="18"/>
        <v>37796000</v>
      </c>
      <c r="H113" s="1">
        <f>118+1600</f>
        <v>1718</v>
      </c>
      <c r="I113" s="40">
        <f t="shared" si="19"/>
        <v>18832000</v>
      </c>
      <c r="J113" s="49">
        <f t="shared" si="20"/>
        <v>856</v>
      </c>
      <c r="K113" s="6"/>
      <c r="L113" s="6"/>
      <c r="M113" s="191">
        <f t="shared" si="21"/>
        <v>18964000</v>
      </c>
      <c r="N113" s="4">
        <v>862</v>
      </c>
      <c r="O113" s="22">
        <v>22000</v>
      </c>
      <c r="P113" s="6" t="s">
        <v>35</v>
      </c>
      <c r="Q113" s="46" t="s">
        <v>121</v>
      </c>
      <c r="R113" s="66" t="s">
        <v>158</v>
      </c>
      <c r="S113" s="207">
        <v>120302</v>
      </c>
    </row>
    <row r="114" spans="2:19" ht="39" hidden="1" customHeight="1">
      <c r="C114" s="3">
        <f>2300-1800</f>
        <v>500</v>
      </c>
      <c r="D114" s="20">
        <v>709.89</v>
      </c>
      <c r="F114" s="20"/>
      <c r="G114" s="100">
        <f t="shared" si="18"/>
        <v>45469000</v>
      </c>
      <c r="H114" s="1">
        <f>709+400</f>
        <v>1109</v>
      </c>
      <c r="I114" s="40">
        <f t="shared" si="19"/>
        <v>14432000</v>
      </c>
      <c r="J114" s="49">
        <f t="shared" si="20"/>
        <v>352</v>
      </c>
      <c r="K114" s="6"/>
      <c r="L114" s="6"/>
      <c r="M114" s="191">
        <f t="shared" si="21"/>
        <v>31037000</v>
      </c>
      <c r="N114" s="4">
        <v>757</v>
      </c>
      <c r="O114" s="22">
        <v>41000</v>
      </c>
      <c r="P114" s="6" t="s">
        <v>35</v>
      </c>
      <c r="Q114" s="46" t="s">
        <v>122</v>
      </c>
      <c r="R114" s="66" t="s">
        <v>158</v>
      </c>
      <c r="S114" s="207">
        <v>120303</v>
      </c>
    </row>
    <row r="115" spans="2:19" ht="39" hidden="1" customHeight="1">
      <c r="D115" s="20"/>
      <c r="F115" s="20"/>
      <c r="G115" s="100">
        <f t="shared" si="18"/>
        <v>0</v>
      </c>
      <c r="H115" s="1"/>
      <c r="I115" s="40">
        <f t="shared" si="19"/>
        <v>0</v>
      </c>
      <c r="J115" s="49">
        <f t="shared" si="20"/>
        <v>0</v>
      </c>
      <c r="K115" s="6"/>
      <c r="L115" s="6"/>
      <c r="M115" s="191">
        <f t="shared" si="21"/>
        <v>0</v>
      </c>
      <c r="N115" s="4"/>
      <c r="O115" s="108">
        <v>29300</v>
      </c>
      <c r="P115" s="6" t="s">
        <v>35</v>
      </c>
      <c r="Q115" s="46" t="s">
        <v>123</v>
      </c>
      <c r="R115" s="66" t="s">
        <v>158</v>
      </c>
      <c r="S115" s="207">
        <v>120305</v>
      </c>
    </row>
    <row r="116" spans="2:19" ht="39" hidden="1" customHeight="1">
      <c r="D116" s="20"/>
      <c r="F116" s="20"/>
      <c r="G116" s="100">
        <f t="shared" si="18"/>
        <v>0</v>
      </c>
      <c r="H116" s="1"/>
      <c r="I116" s="40">
        <f t="shared" si="19"/>
        <v>0</v>
      </c>
      <c r="J116" s="49">
        <f t="shared" si="20"/>
        <v>0</v>
      </c>
      <c r="K116" s="6"/>
      <c r="L116" s="6"/>
      <c r="M116" s="191">
        <f t="shared" si="21"/>
        <v>0</v>
      </c>
      <c r="N116" s="4"/>
      <c r="O116" s="22">
        <v>26400</v>
      </c>
      <c r="P116" s="6" t="s">
        <v>35</v>
      </c>
      <c r="Q116" s="46" t="s">
        <v>124</v>
      </c>
      <c r="R116" s="66" t="s">
        <v>158</v>
      </c>
      <c r="S116" s="207">
        <v>120307</v>
      </c>
    </row>
    <row r="117" spans="2:19" ht="39" hidden="1" customHeight="1">
      <c r="D117" s="20">
        <v>800.75</v>
      </c>
      <c r="F117" s="20"/>
      <c r="G117" s="100">
        <f t="shared" si="18"/>
        <v>4416000</v>
      </c>
      <c r="H117" s="203">
        <v>800</v>
      </c>
      <c r="I117" s="40">
        <f t="shared" si="19"/>
        <v>-270480</v>
      </c>
      <c r="J117" s="49">
        <f t="shared" si="20"/>
        <v>-49</v>
      </c>
      <c r="K117" s="6"/>
      <c r="L117" s="6"/>
      <c r="M117" s="191">
        <f t="shared" si="21"/>
        <v>4686480</v>
      </c>
      <c r="N117" s="4">
        <v>849</v>
      </c>
      <c r="O117" s="22">
        <v>5520</v>
      </c>
      <c r="P117" s="6" t="s">
        <v>35</v>
      </c>
      <c r="Q117" s="46" t="s">
        <v>52</v>
      </c>
      <c r="R117" s="66" t="s">
        <v>158</v>
      </c>
      <c r="S117" s="207" t="s">
        <v>50</v>
      </c>
    </row>
    <row r="118" spans="2:19" ht="39" hidden="1" customHeight="1">
      <c r="B118" s="259" t="s">
        <v>270</v>
      </c>
      <c r="C118" s="3" t="s">
        <v>296</v>
      </c>
      <c r="D118" s="110"/>
      <c r="F118" s="110"/>
      <c r="G118" s="100">
        <f t="shared" si="18"/>
        <v>12172000</v>
      </c>
      <c r="H118" s="1">
        <f>2150*250+223250</f>
        <v>760750</v>
      </c>
      <c r="I118" s="40">
        <f t="shared" si="19"/>
        <v>12172000</v>
      </c>
      <c r="J118" s="49">
        <f t="shared" si="20"/>
        <v>760750</v>
      </c>
      <c r="K118" s="6"/>
      <c r="L118" s="6"/>
      <c r="M118" s="191">
        <f t="shared" si="21"/>
        <v>0</v>
      </c>
      <c r="N118" s="4"/>
      <c r="O118" s="22">
        <v>16</v>
      </c>
      <c r="P118" s="6" t="s">
        <v>48</v>
      </c>
      <c r="Q118" s="46" t="s">
        <v>162</v>
      </c>
      <c r="R118" s="66" t="s">
        <v>158</v>
      </c>
      <c r="S118" s="207">
        <v>120701</v>
      </c>
    </row>
    <row r="119" spans="2:19" ht="39" hidden="1" customHeight="1">
      <c r="D119" s="110">
        <v>413319.5</v>
      </c>
      <c r="F119" s="110"/>
      <c r="G119" s="100">
        <f t="shared" si="18"/>
        <v>13226208</v>
      </c>
      <c r="H119" s="1">
        <v>413319</v>
      </c>
      <c r="I119" s="40">
        <f t="shared" si="19"/>
        <v>-3653792</v>
      </c>
      <c r="J119" s="49">
        <f t="shared" si="20"/>
        <v>-114181</v>
      </c>
      <c r="K119" s="6"/>
      <c r="L119" s="6"/>
      <c r="M119" s="191">
        <f t="shared" si="21"/>
        <v>16880000</v>
      </c>
      <c r="N119" s="4">
        <v>527500</v>
      </c>
      <c r="O119" s="22">
        <v>32</v>
      </c>
      <c r="P119" s="6" t="s">
        <v>48</v>
      </c>
      <c r="Q119" s="45" t="s">
        <v>235</v>
      </c>
      <c r="R119" s="66" t="s">
        <v>158</v>
      </c>
      <c r="S119" s="34" t="s">
        <v>234</v>
      </c>
    </row>
    <row r="120" spans="2:19" ht="39" hidden="1" customHeight="1">
      <c r="D120" s="110">
        <v>11000</v>
      </c>
      <c r="F120" s="110"/>
      <c r="G120" s="100">
        <f t="shared" si="18"/>
        <v>6545000</v>
      </c>
      <c r="H120" s="1">
        <v>11000</v>
      </c>
      <c r="I120" s="40">
        <f t="shared" si="19"/>
        <v>6545000</v>
      </c>
      <c r="J120" s="49">
        <f t="shared" si="20"/>
        <v>11000</v>
      </c>
      <c r="K120" s="6"/>
      <c r="L120" s="6"/>
      <c r="M120" s="191">
        <f t="shared" si="21"/>
        <v>0</v>
      </c>
      <c r="N120" s="4"/>
      <c r="O120" s="169">
        <v>595</v>
      </c>
      <c r="P120" s="166" t="s">
        <v>204</v>
      </c>
      <c r="Q120" s="167" t="s">
        <v>205</v>
      </c>
      <c r="R120" s="66" t="s">
        <v>158</v>
      </c>
      <c r="S120" s="207">
        <v>120703</v>
      </c>
    </row>
    <row r="121" spans="2:19" ht="39" hidden="1" customHeight="1">
      <c r="B121" s="259" t="s">
        <v>271</v>
      </c>
      <c r="C121" s="3" t="s">
        <v>297</v>
      </c>
      <c r="D121" s="57">
        <v>17156.169999999998</v>
      </c>
      <c r="F121" s="57"/>
      <c r="G121" s="100">
        <f t="shared" si="18"/>
        <v>100991020</v>
      </c>
      <c r="H121" s="58">
        <f>17156+2150*14+893*14</f>
        <v>59758</v>
      </c>
      <c r="I121" s="40">
        <f t="shared" si="19"/>
        <v>62413390</v>
      </c>
      <c r="J121" s="49">
        <f t="shared" si="20"/>
        <v>36931</v>
      </c>
      <c r="K121" s="7"/>
      <c r="L121" s="59"/>
      <c r="M121" s="191">
        <f t="shared" si="21"/>
        <v>38577630</v>
      </c>
      <c r="N121" s="168">
        <v>22827</v>
      </c>
      <c r="O121" s="60">
        <v>1690</v>
      </c>
      <c r="P121" s="4" t="s">
        <v>44</v>
      </c>
      <c r="Q121" s="74" t="s">
        <v>163</v>
      </c>
      <c r="R121" s="66" t="s">
        <v>158</v>
      </c>
      <c r="S121" s="213">
        <v>120801</v>
      </c>
    </row>
    <row r="122" spans="2:19" ht="39" hidden="1" customHeight="1">
      <c r="B122" s="259" t="s">
        <v>272</v>
      </c>
      <c r="C122" s="3" t="s">
        <v>298</v>
      </c>
      <c r="D122" s="57">
        <v>19358.900000000001</v>
      </c>
      <c r="F122" s="57"/>
      <c r="G122" s="100">
        <f t="shared" si="18"/>
        <v>53861780</v>
      </c>
      <c r="H122" s="58">
        <f>19358+2150*1.3*9+10448</f>
        <v>54961</v>
      </c>
      <c r="I122" s="40">
        <f t="shared" si="19"/>
        <v>32781980</v>
      </c>
      <c r="J122" s="49">
        <f t="shared" si="20"/>
        <v>33451</v>
      </c>
      <c r="K122" s="7"/>
      <c r="L122" s="59"/>
      <c r="M122" s="191">
        <f t="shared" si="21"/>
        <v>21079800</v>
      </c>
      <c r="N122" s="73">
        <v>21510</v>
      </c>
      <c r="O122" s="60">
        <v>980</v>
      </c>
      <c r="P122" s="4" t="s">
        <v>44</v>
      </c>
      <c r="Q122" s="74" t="s">
        <v>164</v>
      </c>
      <c r="R122" s="66" t="s">
        <v>158</v>
      </c>
      <c r="S122" s="213">
        <v>121001</v>
      </c>
    </row>
    <row r="123" spans="2:19" ht="39" hidden="1" customHeight="1">
      <c r="B123" s="259" t="s">
        <v>273</v>
      </c>
      <c r="C123" s="266" t="s">
        <v>299</v>
      </c>
      <c r="D123" s="57">
        <v>64529.75</v>
      </c>
      <c r="F123" s="57"/>
      <c r="G123" s="100">
        <f t="shared" si="18"/>
        <v>155725100</v>
      </c>
      <c r="H123" s="58">
        <f>34827+2150*1.3*30+64529</f>
        <v>183206</v>
      </c>
      <c r="I123" s="40">
        <f t="shared" si="19"/>
        <v>94780100</v>
      </c>
      <c r="J123" s="49">
        <f t="shared" si="20"/>
        <v>111506</v>
      </c>
      <c r="K123" s="7"/>
      <c r="L123" s="59"/>
      <c r="M123" s="191">
        <f t="shared" si="21"/>
        <v>60945000</v>
      </c>
      <c r="N123" s="73">
        <v>71700</v>
      </c>
      <c r="O123" s="60">
        <v>850</v>
      </c>
      <c r="P123" s="4" t="s">
        <v>44</v>
      </c>
      <c r="Q123" s="74" t="s">
        <v>165</v>
      </c>
      <c r="R123" s="66" t="s">
        <v>158</v>
      </c>
      <c r="S123" s="213">
        <v>121002</v>
      </c>
    </row>
    <row r="124" spans="2:19" ht="39" hidden="1" customHeight="1" thickBot="1">
      <c r="D124" s="21"/>
      <c r="F124" s="21"/>
      <c r="G124" s="397">
        <f>SUM(G107:G123)</f>
        <v>1690321608</v>
      </c>
      <c r="H124" s="398"/>
      <c r="I124" s="402">
        <f>SUM(I107:I123)</f>
        <v>974387198</v>
      </c>
      <c r="J124" s="402"/>
      <c r="K124" s="400">
        <f>SUM(K108:K120)</f>
        <v>0</v>
      </c>
      <c r="L124" s="400"/>
      <c r="M124" s="400">
        <f>SUM(M107:M123)</f>
        <v>715934410</v>
      </c>
      <c r="N124" s="400"/>
      <c r="O124" s="39"/>
      <c r="P124" s="115"/>
      <c r="Q124" s="115" t="s">
        <v>11</v>
      </c>
      <c r="R124" s="67"/>
      <c r="S124" s="209"/>
    </row>
    <row r="125" spans="2:19" ht="49.5" hidden="1" customHeight="1" thickBot="1">
      <c r="D125" s="13"/>
      <c r="F125" s="13"/>
      <c r="G125" s="99"/>
      <c r="H125" s="37"/>
      <c r="I125" s="50"/>
      <c r="J125" s="50"/>
      <c r="K125" s="44"/>
      <c r="L125" s="44"/>
      <c r="M125" s="99"/>
      <c r="N125" s="37"/>
      <c r="O125" s="24"/>
      <c r="P125" s="17"/>
      <c r="Q125" s="17"/>
      <c r="R125" s="17"/>
      <c r="S125" s="210"/>
    </row>
    <row r="126" spans="2:19" ht="25.5" hidden="1" customHeight="1">
      <c r="D126" s="77"/>
      <c r="F126" s="173"/>
      <c r="G126" s="382" t="s">
        <v>300</v>
      </c>
      <c r="H126" s="382"/>
      <c r="I126" s="382" t="s">
        <v>145</v>
      </c>
      <c r="J126" s="382"/>
      <c r="K126" s="78"/>
      <c r="L126" s="78"/>
      <c r="M126" s="199"/>
      <c r="N126" s="78"/>
      <c r="O126" s="79"/>
      <c r="P126" s="78"/>
      <c r="Q126" s="80" t="s">
        <v>171</v>
      </c>
      <c r="R126" s="41"/>
      <c r="S126" s="219"/>
    </row>
    <row r="127" spans="2:19" ht="25.5" hidden="1" customHeight="1">
      <c r="D127" s="81"/>
      <c r="F127" s="174"/>
      <c r="G127" s="96"/>
      <c r="H127" s="82"/>
      <c r="I127" s="83"/>
      <c r="J127" s="143" t="s">
        <v>146</v>
      </c>
      <c r="K127" s="144"/>
      <c r="L127" s="144"/>
      <c r="M127" s="200"/>
      <c r="N127" s="144"/>
      <c r="O127" s="135"/>
      <c r="P127" s="144"/>
      <c r="Q127" s="84" t="s">
        <v>292</v>
      </c>
      <c r="R127" s="56"/>
      <c r="S127" s="175"/>
    </row>
    <row r="128" spans="2:19" ht="25.5" hidden="1" customHeight="1" thickBot="1">
      <c r="D128" s="85"/>
      <c r="F128" s="85"/>
      <c r="G128" s="145"/>
      <c r="H128" s="136"/>
      <c r="I128" s="146"/>
      <c r="J128" s="146"/>
      <c r="K128" s="136"/>
      <c r="L128" s="136"/>
      <c r="M128" s="202" t="s">
        <v>183</v>
      </c>
      <c r="N128" s="136"/>
      <c r="O128" s="136"/>
      <c r="P128" s="136"/>
      <c r="Q128" s="86" t="s">
        <v>207</v>
      </c>
      <c r="R128" s="42"/>
      <c r="S128" s="205"/>
    </row>
    <row r="129" spans="2:19" ht="30" hidden="1" customHeight="1">
      <c r="D129" s="385" t="s">
        <v>144</v>
      </c>
      <c r="F129" s="385" t="s">
        <v>144</v>
      </c>
      <c r="G129" s="406" t="s">
        <v>63</v>
      </c>
      <c r="H129" s="406"/>
      <c r="I129" s="409" t="s">
        <v>170</v>
      </c>
      <c r="J129" s="409"/>
      <c r="K129" s="401" t="s">
        <v>2</v>
      </c>
      <c r="L129" s="401"/>
      <c r="M129" s="401" t="s">
        <v>169</v>
      </c>
      <c r="N129" s="401"/>
      <c r="O129" s="426" t="s">
        <v>139</v>
      </c>
      <c r="P129" s="401" t="s">
        <v>1</v>
      </c>
      <c r="Q129" s="401" t="s">
        <v>138</v>
      </c>
      <c r="R129" s="62"/>
      <c r="S129" s="424" t="s">
        <v>0</v>
      </c>
    </row>
    <row r="130" spans="2:19" ht="30" hidden="1" customHeight="1">
      <c r="D130" s="386"/>
      <c r="F130" s="386"/>
      <c r="G130" s="97" t="s">
        <v>143</v>
      </c>
      <c r="H130" s="49" t="s">
        <v>142</v>
      </c>
      <c r="I130" s="49" t="s">
        <v>143</v>
      </c>
      <c r="J130" s="49" t="s">
        <v>142</v>
      </c>
      <c r="K130" s="1" t="s">
        <v>4</v>
      </c>
      <c r="L130" s="1" t="s">
        <v>3</v>
      </c>
      <c r="M130" s="100" t="s">
        <v>141</v>
      </c>
      <c r="N130" s="1" t="s">
        <v>140</v>
      </c>
      <c r="O130" s="427"/>
      <c r="P130" s="422"/>
      <c r="Q130" s="422"/>
      <c r="R130" s="2"/>
      <c r="S130" s="425"/>
    </row>
    <row r="131" spans="2:19" ht="35.25" hidden="1" customHeight="1">
      <c r="D131" s="5"/>
      <c r="F131" s="5"/>
      <c r="G131" s="100"/>
      <c r="H131" s="1"/>
      <c r="I131" s="40">
        <f>J131*O131</f>
        <v>-103292000</v>
      </c>
      <c r="J131" s="49">
        <f>H131-N131</f>
        <v>-136</v>
      </c>
      <c r="K131" s="6"/>
      <c r="L131" s="6"/>
      <c r="M131" s="191">
        <f>N131*O131</f>
        <v>103292000</v>
      </c>
      <c r="N131" s="4">
        <v>136</v>
      </c>
      <c r="O131" s="22">
        <v>759500</v>
      </c>
      <c r="P131" s="6" t="s">
        <v>35</v>
      </c>
      <c r="Q131" s="46" t="s">
        <v>110</v>
      </c>
      <c r="R131" s="46" t="s">
        <v>158</v>
      </c>
      <c r="S131" s="207">
        <v>130804</v>
      </c>
    </row>
    <row r="132" spans="2:19" ht="35.25" hidden="1" customHeight="1">
      <c r="D132" s="5"/>
      <c r="F132" s="5"/>
      <c r="G132" s="100"/>
      <c r="H132" s="1"/>
      <c r="I132" s="40">
        <f>J132*O132</f>
        <v>-217550000</v>
      </c>
      <c r="J132" s="49">
        <f>H132-N132</f>
        <v>-380</v>
      </c>
      <c r="K132" s="6"/>
      <c r="L132" s="6"/>
      <c r="M132" s="191">
        <f>N132*O132</f>
        <v>217550000</v>
      </c>
      <c r="N132" s="4">
        <v>380</v>
      </c>
      <c r="O132" s="22">
        <v>572500</v>
      </c>
      <c r="P132" s="6" t="s">
        <v>35</v>
      </c>
      <c r="Q132" s="45" t="s">
        <v>237</v>
      </c>
      <c r="R132" s="46" t="s">
        <v>158</v>
      </c>
      <c r="S132" s="34" t="s">
        <v>236</v>
      </c>
    </row>
    <row r="133" spans="2:19" ht="35.25" hidden="1" customHeight="1">
      <c r="D133" s="5"/>
      <c r="F133" s="5"/>
      <c r="G133" s="100">
        <f>H133*O133</f>
        <v>7986000</v>
      </c>
      <c r="H133" s="1">
        <v>44</v>
      </c>
      <c r="I133" s="40">
        <f>J133*O133</f>
        <v>7986000</v>
      </c>
      <c r="J133" s="49">
        <f>H133-N133</f>
        <v>44</v>
      </c>
      <c r="K133" s="6"/>
      <c r="L133" s="6"/>
      <c r="M133" s="191">
        <f>N133*O133</f>
        <v>0</v>
      </c>
      <c r="N133" s="4"/>
      <c r="O133" s="22">
        <v>181500</v>
      </c>
      <c r="P133" s="6" t="s">
        <v>155</v>
      </c>
      <c r="Q133" s="46" t="s">
        <v>208</v>
      </c>
      <c r="R133" s="46" t="s">
        <v>158</v>
      </c>
      <c r="S133" s="207">
        <v>131109</v>
      </c>
    </row>
    <row r="134" spans="2:19" ht="27" hidden="1" customHeight="1" thickBot="1">
      <c r="D134" s="21"/>
      <c r="F134" s="21"/>
      <c r="G134" s="397">
        <f>SUM(G131:G133)</f>
        <v>7986000</v>
      </c>
      <c r="H134" s="398"/>
      <c r="I134" s="402">
        <f>SUM(I131:I133)</f>
        <v>-312856000</v>
      </c>
      <c r="J134" s="402"/>
      <c r="K134" s="400">
        <f>SUM(K131:K131)</f>
        <v>0</v>
      </c>
      <c r="L134" s="400"/>
      <c r="M134" s="400">
        <f>SUM(M131:M133)</f>
        <v>320842000</v>
      </c>
      <c r="N134" s="400"/>
      <c r="O134" s="39"/>
      <c r="P134" s="115"/>
      <c r="Q134" s="115" t="s">
        <v>111</v>
      </c>
      <c r="R134" s="15"/>
      <c r="S134" s="209"/>
    </row>
    <row r="135" spans="2:19" ht="25.5" hidden="1" customHeight="1" thickBot="1">
      <c r="D135" s="85"/>
      <c r="F135" s="85"/>
      <c r="G135" s="145"/>
      <c r="H135" s="136"/>
      <c r="I135" s="146"/>
      <c r="J135" s="146"/>
      <c r="K135" s="136"/>
      <c r="L135" s="136"/>
      <c r="M135" s="202" t="s">
        <v>183</v>
      </c>
      <c r="N135" s="136"/>
      <c r="O135" s="136"/>
      <c r="P135" s="136"/>
      <c r="Q135" s="86" t="s">
        <v>209</v>
      </c>
      <c r="R135" s="42"/>
      <c r="S135" s="205"/>
    </row>
    <row r="136" spans="2:19" ht="43.5" hidden="1" customHeight="1">
      <c r="D136" s="20">
        <v>7280</v>
      </c>
      <c r="F136" s="20"/>
      <c r="G136" s="100">
        <f t="shared" ref="G136:G146" si="22">H136*O136</f>
        <v>531440000</v>
      </c>
      <c r="H136" s="1">
        <v>7280</v>
      </c>
      <c r="I136" s="40">
        <f>J136*O136</f>
        <v>-577941000</v>
      </c>
      <c r="J136" s="49">
        <f>H136-N136</f>
        <v>-7917</v>
      </c>
      <c r="K136" s="6"/>
      <c r="L136" s="6"/>
      <c r="M136" s="113">
        <f t="shared" ref="M136:M146" si="23">N136*O136</f>
        <v>1109381000</v>
      </c>
      <c r="N136" s="4">
        <v>15197</v>
      </c>
      <c r="O136" s="22">
        <v>73000</v>
      </c>
      <c r="P136" s="6" t="s">
        <v>35</v>
      </c>
      <c r="Q136" s="45" t="s">
        <v>239</v>
      </c>
      <c r="R136" s="65" t="s">
        <v>158</v>
      </c>
      <c r="S136" s="34" t="s">
        <v>238</v>
      </c>
    </row>
    <row r="137" spans="2:19" ht="43.5" hidden="1" customHeight="1">
      <c r="D137" s="20"/>
      <c r="F137" s="20"/>
      <c r="G137" s="100">
        <f t="shared" si="22"/>
        <v>0</v>
      </c>
      <c r="H137" s="1"/>
      <c r="I137" s="40">
        <f t="shared" ref="I137:I146" si="24">J137*O137</f>
        <v>0</v>
      </c>
      <c r="J137" s="49">
        <f t="shared" ref="J137:J146" si="25">H137-N137</f>
        <v>0</v>
      </c>
      <c r="K137" s="6"/>
      <c r="L137" s="6"/>
      <c r="M137" s="100">
        <f t="shared" si="23"/>
        <v>0</v>
      </c>
      <c r="N137" s="4"/>
      <c r="O137" s="22">
        <v>6170</v>
      </c>
      <c r="P137" s="6" t="s">
        <v>35</v>
      </c>
      <c r="Q137" s="45" t="s">
        <v>166</v>
      </c>
      <c r="R137" s="65" t="s">
        <v>158</v>
      </c>
      <c r="S137" s="207">
        <v>140701</v>
      </c>
    </row>
    <row r="138" spans="2:19" ht="43.5" hidden="1" customHeight="1">
      <c r="D138" s="20"/>
      <c r="F138" s="20"/>
      <c r="G138" s="100">
        <f t="shared" si="22"/>
        <v>1064000</v>
      </c>
      <c r="H138" s="1">
        <v>140</v>
      </c>
      <c r="I138" s="40">
        <f t="shared" si="24"/>
        <v>1064000</v>
      </c>
      <c r="J138" s="49">
        <f t="shared" si="25"/>
        <v>140</v>
      </c>
      <c r="K138" s="6"/>
      <c r="L138" s="6"/>
      <c r="M138" s="100">
        <f t="shared" si="23"/>
        <v>0</v>
      </c>
      <c r="N138" s="4"/>
      <c r="O138" s="22">
        <v>7600</v>
      </c>
      <c r="P138" s="6" t="s">
        <v>35</v>
      </c>
      <c r="Q138" s="45" t="s">
        <v>136</v>
      </c>
      <c r="R138" s="65" t="s">
        <v>158</v>
      </c>
      <c r="S138" s="207">
        <v>140704</v>
      </c>
    </row>
    <row r="139" spans="2:19" ht="43.5" hidden="1" customHeight="1">
      <c r="D139" s="20"/>
      <c r="F139" s="20"/>
      <c r="G139" s="100">
        <f t="shared" si="22"/>
        <v>455000</v>
      </c>
      <c r="H139" s="1">
        <v>140</v>
      </c>
      <c r="I139" s="40">
        <f t="shared" si="24"/>
        <v>455000</v>
      </c>
      <c r="J139" s="49">
        <f t="shared" si="25"/>
        <v>140</v>
      </c>
      <c r="K139" s="6"/>
      <c r="L139" s="6"/>
      <c r="M139" s="100">
        <f t="shared" si="23"/>
        <v>0</v>
      </c>
      <c r="N139" s="4"/>
      <c r="O139" s="22">
        <v>3250</v>
      </c>
      <c r="P139" s="6" t="s">
        <v>35</v>
      </c>
      <c r="Q139" s="45" t="s">
        <v>167</v>
      </c>
      <c r="R139" s="65" t="s">
        <v>158</v>
      </c>
      <c r="S139" s="207">
        <v>140801</v>
      </c>
    </row>
    <row r="140" spans="2:19" ht="43.5" hidden="1" customHeight="1">
      <c r="B140" s="259">
        <v>950</v>
      </c>
      <c r="D140" s="20"/>
      <c r="F140" s="20"/>
      <c r="G140" s="100">
        <f t="shared" si="22"/>
        <v>72485000</v>
      </c>
      <c r="H140" s="1">
        <v>950</v>
      </c>
      <c r="I140" s="40">
        <f t="shared" si="24"/>
        <v>72485000</v>
      </c>
      <c r="J140" s="49">
        <f t="shared" si="25"/>
        <v>950</v>
      </c>
      <c r="K140" s="6"/>
      <c r="L140" s="6"/>
      <c r="M140" s="100">
        <f t="shared" si="23"/>
        <v>0</v>
      </c>
      <c r="N140" s="4"/>
      <c r="O140" s="22">
        <v>76300</v>
      </c>
      <c r="P140" s="6" t="s">
        <v>35</v>
      </c>
      <c r="Q140" s="45" t="s">
        <v>275</v>
      </c>
      <c r="R140" s="65" t="s">
        <v>158</v>
      </c>
      <c r="S140" s="207" t="s">
        <v>274</v>
      </c>
    </row>
    <row r="141" spans="2:19" ht="43.5" hidden="1" customHeight="1">
      <c r="D141" s="20"/>
      <c r="F141" s="20"/>
      <c r="G141" s="100">
        <f t="shared" si="22"/>
        <v>0</v>
      </c>
      <c r="H141" s="1"/>
      <c r="I141" s="40">
        <f t="shared" si="24"/>
        <v>0</v>
      </c>
      <c r="J141" s="49">
        <f t="shared" si="25"/>
        <v>0</v>
      </c>
      <c r="K141" s="6"/>
      <c r="L141" s="6"/>
      <c r="M141" s="100">
        <f t="shared" si="23"/>
        <v>0</v>
      </c>
      <c r="N141" s="4"/>
      <c r="O141" s="22">
        <v>9670</v>
      </c>
      <c r="P141" s="6" t="s">
        <v>35</v>
      </c>
      <c r="Q141" s="45" t="s">
        <v>137</v>
      </c>
      <c r="R141" s="65" t="s">
        <v>158</v>
      </c>
      <c r="S141" s="207">
        <v>141002</v>
      </c>
    </row>
    <row r="142" spans="2:19" ht="43.5" hidden="1" customHeight="1">
      <c r="D142" s="20">
        <v>400</v>
      </c>
      <c r="F142" s="20"/>
      <c r="G142" s="100">
        <f t="shared" si="22"/>
        <v>13800000</v>
      </c>
      <c r="H142" s="1">
        <v>400</v>
      </c>
      <c r="I142" s="40">
        <f t="shared" si="24"/>
        <v>13800000</v>
      </c>
      <c r="J142" s="49">
        <f t="shared" si="25"/>
        <v>400</v>
      </c>
      <c r="K142" s="6"/>
      <c r="L142" s="6"/>
      <c r="M142" s="100">
        <f t="shared" si="23"/>
        <v>0</v>
      </c>
      <c r="N142" s="4"/>
      <c r="O142" s="22">
        <v>34500</v>
      </c>
      <c r="P142" s="6" t="s">
        <v>35</v>
      </c>
      <c r="Q142" s="45" t="s">
        <v>253</v>
      </c>
      <c r="R142" s="65" t="s">
        <v>158</v>
      </c>
      <c r="S142" s="34" t="s">
        <v>251</v>
      </c>
    </row>
    <row r="143" spans="2:19" ht="43.5" hidden="1" customHeight="1">
      <c r="D143" s="20">
        <v>600</v>
      </c>
      <c r="F143" s="20"/>
      <c r="G143" s="100">
        <f t="shared" si="22"/>
        <v>17160000</v>
      </c>
      <c r="H143" s="1">
        <v>600</v>
      </c>
      <c r="I143" s="40">
        <f t="shared" si="24"/>
        <v>17160000</v>
      </c>
      <c r="J143" s="49">
        <f t="shared" si="25"/>
        <v>600</v>
      </c>
      <c r="K143" s="6"/>
      <c r="L143" s="6"/>
      <c r="M143" s="100">
        <f t="shared" si="23"/>
        <v>0</v>
      </c>
      <c r="N143" s="4"/>
      <c r="O143" s="22">
        <v>28600</v>
      </c>
      <c r="P143" s="6" t="s">
        <v>35</v>
      </c>
      <c r="Q143" s="45" t="s">
        <v>254</v>
      </c>
      <c r="R143" s="65" t="s">
        <v>158</v>
      </c>
      <c r="S143" s="34" t="s">
        <v>252</v>
      </c>
    </row>
    <row r="144" spans="2:19" ht="32.25" hidden="1" customHeight="1">
      <c r="B144" s="259" t="s">
        <v>276</v>
      </c>
      <c r="D144" s="20">
        <v>92520</v>
      </c>
      <c r="F144" s="20"/>
      <c r="G144" s="100">
        <f t="shared" si="22"/>
        <v>99048600</v>
      </c>
      <c r="H144" s="1">
        <f>92520+9*950</f>
        <v>101070</v>
      </c>
      <c r="I144" s="40">
        <f t="shared" si="24"/>
        <v>-34988940</v>
      </c>
      <c r="J144" s="49">
        <f t="shared" si="25"/>
        <v>-35703</v>
      </c>
      <c r="K144" s="6"/>
      <c r="L144" s="6"/>
      <c r="M144" s="100">
        <f t="shared" si="23"/>
        <v>134037540</v>
      </c>
      <c r="N144" s="4">
        <v>136773</v>
      </c>
      <c r="O144" s="104">
        <v>980</v>
      </c>
      <c r="P144" s="4" t="s">
        <v>44</v>
      </c>
      <c r="Q144" s="45" t="s">
        <v>68</v>
      </c>
      <c r="R144" s="65" t="s">
        <v>158</v>
      </c>
      <c r="S144" s="207">
        <v>141901</v>
      </c>
    </row>
    <row r="145" spans="2:19" ht="32.25" hidden="1" customHeight="1">
      <c r="B145" s="259" t="s">
        <v>277</v>
      </c>
      <c r="D145" s="20">
        <v>205600</v>
      </c>
      <c r="F145" s="20"/>
      <c r="G145" s="100">
        <f t="shared" si="22"/>
        <v>201017000</v>
      </c>
      <c r="H145" s="1">
        <f>205600+20*950</f>
        <v>224600</v>
      </c>
      <c r="I145" s="40">
        <f t="shared" si="24"/>
        <v>-71009300</v>
      </c>
      <c r="J145" s="49">
        <f t="shared" si="25"/>
        <v>-79340</v>
      </c>
      <c r="K145" s="6"/>
      <c r="L145" s="6"/>
      <c r="M145" s="100">
        <f t="shared" si="23"/>
        <v>272026300</v>
      </c>
      <c r="N145" s="4">
        <v>303940</v>
      </c>
      <c r="O145" s="22">
        <v>895</v>
      </c>
      <c r="P145" s="4" t="s">
        <v>44</v>
      </c>
      <c r="Q145" s="45" t="s">
        <v>242</v>
      </c>
      <c r="R145" s="65" t="s">
        <v>158</v>
      </c>
      <c r="S145" s="207">
        <v>141902</v>
      </c>
    </row>
    <row r="146" spans="2:19" ht="32.25" hidden="1" customHeight="1">
      <c r="B146" s="259" t="s">
        <v>278</v>
      </c>
      <c r="D146" s="57">
        <v>102800</v>
      </c>
      <c r="F146" s="57"/>
      <c r="G146" s="100">
        <f t="shared" si="22"/>
        <v>80294500</v>
      </c>
      <c r="H146" s="224">
        <f>102800+10*950</f>
        <v>112300</v>
      </c>
      <c r="I146" s="40">
        <f t="shared" si="24"/>
        <v>-28364050</v>
      </c>
      <c r="J146" s="49">
        <f t="shared" si="25"/>
        <v>-39670</v>
      </c>
      <c r="K146" s="7"/>
      <c r="L146" s="7"/>
      <c r="M146" s="100">
        <f t="shared" si="23"/>
        <v>108658550</v>
      </c>
      <c r="N146" s="59">
        <v>151970</v>
      </c>
      <c r="O146" s="60">
        <v>715</v>
      </c>
      <c r="P146" s="4" t="s">
        <v>44</v>
      </c>
      <c r="Q146" s="247" t="s">
        <v>241</v>
      </c>
      <c r="R146" s="65" t="s">
        <v>158</v>
      </c>
      <c r="S146" s="248" t="s">
        <v>240</v>
      </c>
    </row>
    <row r="147" spans="2:19" ht="29.25" hidden="1" customHeight="1" thickBot="1">
      <c r="D147" s="21"/>
      <c r="F147" s="21"/>
      <c r="G147" s="397">
        <f>SUM(G136:G146)</f>
        <v>1016764100</v>
      </c>
      <c r="H147" s="398"/>
      <c r="I147" s="432">
        <f>SUM(I136:I146)</f>
        <v>-607339290</v>
      </c>
      <c r="J147" s="432"/>
      <c r="K147" s="433">
        <f>SUM(K136:K145)</f>
        <v>0</v>
      </c>
      <c r="L147" s="433"/>
      <c r="M147" s="400">
        <f>SUM(M136:M146)</f>
        <v>1624103390</v>
      </c>
      <c r="N147" s="400"/>
      <c r="O147" s="400"/>
      <c r="P147" s="400"/>
      <c r="Q147" s="170" t="s">
        <v>13</v>
      </c>
      <c r="R147" s="68"/>
      <c r="S147" s="217"/>
    </row>
    <row r="148" spans="2:19" ht="49.5" hidden="1" customHeight="1">
      <c r="D148" s="13"/>
      <c r="F148" s="13"/>
      <c r="G148" s="99"/>
      <c r="H148" s="11"/>
      <c r="I148" s="54"/>
      <c r="J148" s="54"/>
      <c r="K148" s="87"/>
      <c r="L148" s="87"/>
      <c r="M148" s="99"/>
      <c r="N148" s="37"/>
      <c r="O148" s="37"/>
      <c r="P148" s="37"/>
      <c r="Q148" s="88"/>
      <c r="R148" s="88"/>
      <c r="S148" s="218"/>
    </row>
    <row r="149" spans="2:19" ht="49.5" hidden="1" customHeight="1" thickBot="1">
      <c r="D149" s="13"/>
      <c r="F149" s="13"/>
      <c r="G149" s="99"/>
      <c r="H149" s="11"/>
      <c r="I149" s="54"/>
      <c r="J149" s="54"/>
      <c r="K149" s="87"/>
      <c r="L149" s="87"/>
      <c r="M149" s="99"/>
      <c r="N149" s="37"/>
      <c r="O149" s="37"/>
      <c r="P149" s="37"/>
      <c r="Q149" s="88"/>
      <c r="R149" s="88"/>
      <c r="S149" s="218"/>
    </row>
    <row r="150" spans="2:19" ht="25.5" hidden="1" customHeight="1">
      <c r="D150" s="77"/>
      <c r="F150" s="173"/>
      <c r="G150" s="382" t="s">
        <v>300</v>
      </c>
      <c r="H150" s="382"/>
      <c r="I150" s="382" t="s">
        <v>145</v>
      </c>
      <c r="J150" s="382"/>
      <c r="K150" s="78"/>
      <c r="L150" s="78"/>
      <c r="M150" s="199"/>
      <c r="N150" s="78"/>
      <c r="O150" s="79"/>
      <c r="P150" s="78"/>
      <c r="Q150" s="80" t="s">
        <v>171</v>
      </c>
      <c r="R150" s="41"/>
      <c r="S150" s="219"/>
    </row>
    <row r="151" spans="2:19" ht="25.5" hidden="1" customHeight="1">
      <c r="D151" s="81"/>
      <c r="F151" s="174"/>
      <c r="G151" s="96"/>
      <c r="H151" s="82"/>
      <c r="I151" s="83"/>
      <c r="J151" s="143" t="s">
        <v>146</v>
      </c>
      <c r="K151" s="144"/>
      <c r="L151" s="144"/>
      <c r="M151" s="200"/>
      <c r="N151" s="144"/>
      <c r="O151" s="135"/>
      <c r="P151" s="144"/>
      <c r="Q151" s="84" t="s">
        <v>292</v>
      </c>
      <c r="R151" s="56"/>
      <c r="S151" s="175"/>
    </row>
    <row r="152" spans="2:19" ht="25.5" hidden="1" customHeight="1" thickBot="1">
      <c r="D152" s="85"/>
      <c r="F152" s="85"/>
      <c r="G152" s="145"/>
      <c r="H152" s="136"/>
      <c r="I152" s="146"/>
      <c r="J152" s="146"/>
      <c r="K152" s="136"/>
      <c r="L152" s="136"/>
      <c r="M152" s="202" t="s">
        <v>183</v>
      </c>
      <c r="N152" s="136"/>
      <c r="O152" s="136"/>
      <c r="P152" s="136"/>
      <c r="Q152" s="86" t="s">
        <v>210</v>
      </c>
      <c r="R152" s="42"/>
      <c r="S152" s="205"/>
    </row>
    <row r="153" spans="2:19" ht="34.5" hidden="1" customHeight="1">
      <c r="C153" s="3" t="s">
        <v>291</v>
      </c>
      <c r="D153" s="20"/>
      <c r="F153" s="20"/>
      <c r="G153" s="100">
        <f>H153*O153</f>
        <v>6300000</v>
      </c>
      <c r="H153" s="1">
        <v>700</v>
      </c>
      <c r="I153" s="40">
        <f>J153*O153</f>
        <v>6300000</v>
      </c>
      <c r="J153" s="49">
        <f>H153-N153</f>
        <v>700</v>
      </c>
      <c r="K153" s="4"/>
      <c r="L153" s="4"/>
      <c r="M153" s="191"/>
      <c r="N153" s="4"/>
      <c r="O153" s="22">
        <v>9000</v>
      </c>
      <c r="P153" s="4" t="s">
        <v>36</v>
      </c>
      <c r="Q153" s="4" t="s">
        <v>98</v>
      </c>
      <c r="R153" s="64" t="s">
        <v>158</v>
      </c>
      <c r="S153" s="32" t="s">
        <v>97</v>
      </c>
    </row>
    <row r="154" spans="2:19" ht="34.5" hidden="1" customHeight="1">
      <c r="D154" s="20"/>
      <c r="F154" s="20"/>
      <c r="G154" s="100"/>
      <c r="H154" s="1"/>
      <c r="I154" s="40">
        <f>J154*O154</f>
        <v>0</v>
      </c>
      <c r="J154" s="49">
        <f>H154-N154</f>
        <v>0</v>
      </c>
      <c r="K154" s="4"/>
      <c r="L154" s="4"/>
      <c r="M154" s="191"/>
      <c r="N154" s="4"/>
      <c r="O154" s="22">
        <v>43200</v>
      </c>
      <c r="P154" s="4" t="s">
        <v>36</v>
      </c>
      <c r="Q154" s="4" t="s">
        <v>106</v>
      </c>
      <c r="R154" s="64" t="s">
        <v>158</v>
      </c>
      <c r="S154" s="32" t="s">
        <v>105</v>
      </c>
    </row>
    <row r="155" spans="2:19" s="171" customFormat="1" ht="34.5" hidden="1" customHeight="1" thickBot="1">
      <c r="B155" s="260"/>
      <c r="C155" s="263"/>
      <c r="D155" s="131"/>
      <c r="F155" s="131"/>
      <c r="G155" s="397">
        <f>SUM(G153:G154)</f>
        <v>6300000</v>
      </c>
      <c r="H155" s="398"/>
      <c r="I155" s="399">
        <f>SUM(I153:I154)</f>
        <v>6300000</v>
      </c>
      <c r="J155" s="399"/>
      <c r="K155" s="411">
        <f>SUM(K153:K154)</f>
        <v>0</v>
      </c>
      <c r="L155" s="411"/>
      <c r="M155" s="411">
        <f>SUM(M153:M154)</f>
        <v>0</v>
      </c>
      <c r="N155" s="411"/>
      <c r="O155" s="133"/>
      <c r="P155" s="132"/>
      <c r="Q155" s="134" t="s">
        <v>60</v>
      </c>
      <c r="R155" s="172"/>
      <c r="S155" s="217"/>
    </row>
    <row r="156" spans="2:19" ht="32.25" hidden="1" customHeight="1">
      <c r="D156" s="177"/>
      <c r="F156" s="177"/>
      <c r="G156" s="103"/>
      <c r="H156" s="75"/>
      <c r="I156" s="40">
        <f>J156*O156</f>
        <v>0</v>
      </c>
      <c r="J156" s="49">
        <f>H156-N156</f>
        <v>0</v>
      </c>
      <c r="K156" s="75"/>
      <c r="L156" s="75"/>
      <c r="M156" s="191"/>
      <c r="N156" s="75"/>
      <c r="O156" s="90">
        <v>40700</v>
      </c>
      <c r="P156" s="4" t="s">
        <v>125</v>
      </c>
      <c r="Q156" s="71" t="s">
        <v>168</v>
      </c>
      <c r="R156" s="72" t="s">
        <v>158</v>
      </c>
      <c r="S156" s="214">
        <v>190103</v>
      </c>
    </row>
    <row r="157" spans="2:19" ht="32.25" hidden="1" customHeight="1">
      <c r="D157" s="177">
        <v>4369.33</v>
      </c>
      <c r="F157" s="177"/>
      <c r="G157" s="103">
        <f>H157*O157</f>
        <v>27087800</v>
      </c>
      <c r="H157" s="75">
        <v>4369</v>
      </c>
      <c r="I157" s="40">
        <f>J157*O157</f>
        <v>27087800</v>
      </c>
      <c r="J157" s="49">
        <f>H157-N157</f>
        <v>4369</v>
      </c>
      <c r="K157" s="75"/>
      <c r="L157" s="75"/>
      <c r="M157" s="191"/>
      <c r="N157" s="75"/>
      <c r="O157" s="90">
        <v>6200</v>
      </c>
      <c r="P157" s="4" t="s">
        <v>125</v>
      </c>
      <c r="Q157" s="71" t="s">
        <v>256</v>
      </c>
      <c r="R157" s="72" t="s">
        <v>158</v>
      </c>
      <c r="S157" s="212" t="s">
        <v>255</v>
      </c>
    </row>
    <row r="158" spans="2:19" ht="32.25" hidden="1" customHeight="1">
      <c r="B158" s="259">
        <v>450</v>
      </c>
      <c r="C158" s="3">
        <v>300</v>
      </c>
      <c r="D158" s="5">
        <v>348.75</v>
      </c>
      <c r="F158" s="5"/>
      <c r="G158" s="103">
        <f>H158*O158</f>
        <v>61048800</v>
      </c>
      <c r="H158" s="1">
        <f>348+300+450</f>
        <v>1098</v>
      </c>
      <c r="I158" s="40">
        <f>J158*O158</f>
        <v>61048800</v>
      </c>
      <c r="J158" s="49">
        <f>H158-N158</f>
        <v>1098</v>
      </c>
      <c r="K158" s="4"/>
      <c r="L158" s="4"/>
      <c r="M158" s="191"/>
      <c r="N158" s="4"/>
      <c r="O158" s="22">
        <v>55600</v>
      </c>
      <c r="P158" s="4" t="s">
        <v>108</v>
      </c>
      <c r="Q158" s="46" t="s">
        <v>150</v>
      </c>
      <c r="R158" s="72" t="s">
        <v>158</v>
      </c>
      <c r="S158" s="32" t="s">
        <v>149</v>
      </c>
    </row>
    <row r="159" spans="2:19" ht="32.25" hidden="1" customHeight="1">
      <c r="D159" s="57"/>
      <c r="F159" s="57"/>
      <c r="G159" s="103">
        <f>H159*O159</f>
        <v>10680000</v>
      </c>
      <c r="H159" s="1">
        <v>120</v>
      </c>
      <c r="I159" s="40">
        <f>J159*O159</f>
        <v>-7120000</v>
      </c>
      <c r="J159" s="49">
        <f>H159-N159</f>
        <v>-80</v>
      </c>
      <c r="K159" s="59"/>
      <c r="L159" s="59"/>
      <c r="M159" s="191">
        <f>N159*O159</f>
        <v>17800000</v>
      </c>
      <c r="N159" s="59">
        <v>200</v>
      </c>
      <c r="O159" s="60">
        <v>89000</v>
      </c>
      <c r="P159" s="59" t="s">
        <v>64</v>
      </c>
      <c r="Q159" s="247" t="s">
        <v>244</v>
      </c>
      <c r="R159" s="72" t="s">
        <v>159</v>
      </c>
      <c r="S159" s="76" t="s">
        <v>243</v>
      </c>
    </row>
    <row r="160" spans="2:19" s="178" customFormat="1" ht="32.25" hidden="1" customHeight="1" thickBot="1">
      <c r="B160" s="261"/>
      <c r="C160" s="264"/>
      <c r="D160" s="179"/>
      <c r="F160" s="179"/>
      <c r="G160" s="407">
        <f>SUM(G156:G159)</f>
        <v>98816600</v>
      </c>
      <c r="H160" s="408"/>
      <c r="I160" s="403">
        <f>SUM(I156:I159)</f>
        <v>81016600</v>
      </c>
      <c r="J160" s="403"/>
      <c r="K160" s="434" t="e">
        <f>SUM(#REF!)</f>
        <v>#REF!</v>
      </c>
      <c r="L160" s="434"/>
      <c r="M160" s="434">
        <f>SUM(M156:M159)</f>
        <v>17800000</v>
      </c>
      <c r="N160" s="434"/>
      <c r="O160" s="182"/>
      <c r="P160" s="181"/>
      <c r="Q160" s="183" t="s">
        <v>107</v>
      </c>
      <c r="R160" s="184"/>
      <c r="S160" s="221"/>
    </row>
    <row r="161" spans="2:28" ht="25.5" hidden="1" customHeight="1" thickBot="1">
      <c r="D161" s="85"/>
      <c r="F161" s="85"/>
      <c r="G161" s="145"/>
      <c r="H161" s="136"/>
      <c r="I161" s="146"/>
      <c r="J161" s="146"/>
      <c r="K161" s="136"/>
      <c r="L161" s="136"/>
      <c r="M161" s="202" t="s">
        <v>183</v>
      </c>
      <c r="N161" s="136"/>
      <c r="O161" s="136"/>
      <c r="P161" s="136"/>
      <c r="Q161" s="86" t="s">
        <v>211</v>
      </c>
      <c r="R161" s="42"/>
      <c r="S161" s="205"/>
    </row>
    <row r="162" spans="2:28" ht="33" hidden="1" customHeight="1">
      <c r="B162" s="265">
        <f>(C109+B109)*0.25*45</f>
        <v>34233.75</v>
      </c>
      <c r="D162" s="20">
        <v>32089.8</v>
      </c>
      <c r="F162" s="20"/>
      <c r="G162" s="100">
        <f>H162*O162</f>
        <v>24207530</v>
      </c>
      <c r="H162" s="1">
        <f>32089+34233</f>
        <v>66322</v>
      </c>
      <c r="I162" s="40">
        <f>J162*O162</f>
        <v>11620870</v>
      </c>
      <c r="J162" s="49">
        <f>H162-N162</f>
        <v>31838</v>
      </c>
      <c r="K162" s="4"/>
      <c r="L162" s="4"/>
      <c r="M162" s="191">
        <f>N162*O162</f>
        <v>12586660</v>
      </c>
      <c r="N162" s="4">
        <v>34484</v>
      </c>
      <c r="O162" s="22">
        <v>365</v>
      </c>
      <c r="P162" s="4" t="s">
        <v>59</v>
      </c>
      <c r="Q162" s="4" t="s">
        <v>56</v>
      </c>
      <c r="R162" s="64" t="s">
        <v>158</v>
      </c>
      <c r="S162" s="207" t="s">
        <v>53</v>
      </c>
    </row>
    <row r="163" spans="2:28" ht="33" hidden="1" customHeight="1">
      <c r="B163" s="265">
        <f>(C109+B109)*0.25*75</f>
        <v>57056.25</v>
      </c>
      <c r="D163" s="20">
        <v>27643.439999999999</v>
      </c>
      <c r="F163" s="20"/>
      <c r="G163" s="100">
        <f>H163*O163</f>
        <v>20751255</v>
      </c>
      <c r="H163" s="1">
        <f>27643+57056</f>
        <v>84699</v>
      </c>
      <c r="I163" s="40">
        <f>J163*O163</f>
        <v>13560995</v>
      </c>
      <c r="J163" s="49">
        <f>H163-N163</f>
        <v>55351</v>
      </c>
      <c r="K163" s="4"/>
      <c r="L163" s="4"/>
      <c r="M163" s="191">
        <f>N163*O163</f>
        <v>7190260</v>
      </c>
      <c r="N163" s="4">
        <v>29348</v>
      </c>
      <c r="O163" s="22">
        <v>245</v>
      </c>
      <c r="P163" s="4" t="s">
        <v>59</v>
      </c>
      <c r="Q163" s="4" t="s">
        <v>57</v>
      </c>
      <c r="R163" s="64" t="s">
        <v>158</v>
      </c>
      <c r="S163" s="207" t="s">
        <v>54</v>
      </c>
    </row>
    <row r="164" spans="2:28" ht="33" hidden="1" customHeight="1">
      <c r="B164" s="265">
        <f>(C109+B109)*0.25*150</f>
        <v>114112.5</v>
      </c>
      <c r="D164" s="20">
        <v>10067.700000000001</v>
      </c>
      <c r="F164" s="20"/>
      <c r="G164" s="100">
        <f>H164*O164</f>
        <v>1560385</v>
      </c>
      <c r="H164" s="1">
        <v>10067</v>
      </c>
      <c r="I164" s="40">
        <f>J164*O164</f>
        <v>91295</v>
      </c>
      <c r="J164" s="49">
        <f>H164-N164</f>
        <v>589</v>
      </c>
      <c r="K164" s="4"/>
      <c r="L164" s="4"/>
      <c r="M164" s="191">
        <f>N164*O164</f>
        <v>1469090</v>
      </c>
      <c r="N164" s="4">
        <v>9478</v>
      </c>
      <c r="O164" s="22">
        <v>155</v>
      </c>
      <c r="P164" s="4" t="s">
        <v>59</v>
      </c>
      <c r="Q164" s="4" t="s">
        <v>58</v>
      </c>
      <c r="R164" s="64" t="s">
        <v>158</v>
      </c>
      <c r="S164" s="207" t="s">
        <v>55</v>
      </c>
    </row>
    <row r="165" spans="2:28" ht="33" hidden="1" customHeight="1">
      <c r="B165" s="265"/>
      <c r="D165" s="20">
        <v>10067.700000000001</v>
      </c>
      <c r="F165" s="20"/>
      <c r="G165" s="100">
        <f>H165*O165</f>
        <v>1258375</v>
      </c>
      <c r="H165" s="1">
        <v>10067</v>
      </c>
      <c r="I165" s="40">
        <f>J165*O165</f>
        <v>73625</v>
      </c>
      <c r="J165" s="49">
        <f>H165-N165</f>
        <v>589</v>
      </c>
      <c r="K165" s="4"/>
      <c r="L165" s="4"/>
      <c r="M165" s="191">
        <f>N165*O165</f>
        <v>1184750</v>
      </c>
      <c r="N165" s="4">
        <v>9478</v>
      </c>
      <c r="O165" s="22">
        <v>125</v>
      </c>
      <c r="P165" s="4" t="s">
        <v>59</v>
      </c>
      <c r="Q165" s="4" t="s">
        <v>113</v>
      </c>
      <c r="R165" s="64" t="s">
        <v>158</v>
      </c>
      <c r="S165" s="207" t="s">
        <v>112</v>
      </c>
    </row>
    <row r="166" spans="2:28" ht="33" hidden="1" customHeight="1">
      <c r="B166" s="265"/>
      <c r="D166" s="20">
        <v>3355.9</v>
      </c>
      <c r="F166" s="20"/>
      <c r="G166" s="100">
        <f>H166*O166</f>
        <v>369050</v>
      </c>
      <c r="H166" s="1">
        <v>3355</v>
      </c>
      <c r="I166" s="40">
        <f>J166*O166</f>
        <v>21560</v>
      </c>
      <c r="J166" s="49">
        <f>H166-N166</f>
        <v>196</v>
      </c>
      <c r="K166" s="4"/>
      <c r="L166" s="4"/>
      <c r="M166" s="191">
        <f>N166*O166</f>
        <v>347490</v>
      </c>
      <c r="N166" s="4">
        <v>3159</v>
      </c>
      <c r="O166" s="22">
        <v>110</v>
      </c>
      <c r="P166" s="4" t="s">
        <v>59</v>
      </c>
      <c r="Q166" s="4" t="s">
        <v>127</v>
      </c>
      <c r="R166" s="64" t="s">
        <v>158</v>
      </c>
      <c r="S166" s="207" t="s">
        <v>126</v>
      </c>
    </row>
    <row r="167" spans="2:28" s="178" customFormat="1" ht="33" hidden="1" customHeight="1" thickBot="1">
      <c r="B167" s="261"/>
      <c r="C167" s="264"/>
      <c r="D167" s="179"/>
      <c r="F167" s="179"/>
      <c r="G167" s="407">
        <f>SUM(G162:G166)</f>
        <v>48146595</v>
      </c>
      <c r="H167" s="408"/>
      <c r="I167" s="403">
        <f>SUM(I162:I166)</f>
        <v>25368345</v>
      </c>
      <c r="J167" s="403"/>
      <c r="K167" s="434">
        <f>SUM(K162:K166)</f>
        <v>0</v>
      </c>
      <c r="L167" s="434"/>
      <c r="M167" s="434">
        <f>SUM(M162:M166)</f>
        <v>22778250</v>
      </c>
      <c r="N167" s="434"/>
      <c r="O167" s="182"/>
      <c r="P167" s="181"/>
      <c r="Q167" s="181" t="s">
        <v>14</v>
      </c>
      <c r="R167" s="180"/>
      <c r="S167" s="221"/>
    </row>
    <row r="168" spans="2:28" ht="49.5" hidden="1" customHeight="1"/>
    <row r="169" spans="2:28" ht="49.5" hidden="1" customHeight="1"/>
    <row r="170" spans="2:28" ht="49.5" hidden="1" customHeight="1"/>
    <row r="171" spans="2:28" ht="49.5" hidden="1" customHeight="1">
      <c r="T171" s="3"/>
      <c r="U171" s="3"/>
      <c r="V171" s="3"/>
      <c r="W171" s="3"/>
      <c r="X171" s="3"/>
      <c r="Y171" s="3"/>
      <c r="Z171" s="14"/>
      <c r="AA171" s="14"/>
      <c r="AB171" s="12"/>
    </row>
    <row r="172" spans="2:28" ht="49.5" hidden="1" customHeight="1">
      <c r="T172" s="3"/>
      <c r="U172" s="3"/>
      <c r="V172" s="3"/>
      <c r="W172" s="3"/>
      <c r="X172" s="3"/>
      <c r="Y172" s="3"/>
      <c r="Z172" s="14"/>
      <c r="AA172" s="14"/>
      <c r="AB172" s="12"/>
    </row>
    <row r="173" spans="2:28" ht="49.5" hidden="1" customHeight="1">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D175" s="25"/>
      <c r="F175" s="25"/>
      <c r="T175" s="3"/>
      <c r="U175" s="3"/>
      <c r="V175" s="3"/>
      <c r="W175" s="3"/>
      <c r="X175" s="3"/>
      <c r="Y175" s="3"/>
      <c r="Z175" s="14"/>
      <c r="AA175" s="14"/>
      <c r="AB175" s="12"/>
    </row>
    <row r="176" spans="2:28" ht="49.5" hidden="1" customHeight="1">
      <c r="T176" s="3"/>
      <c r="U176" s="3"/>
      <c r="V176" s="3"/>
      <c r="W176" s="3"/>
      <c r="X176" s="3"/>
      <c r="Y176" s="3"/>
      <c r="Z176" s="14"/>
      <c r="AA176" s="14"/>
      <c r="AB176" s="12"/>
    </row>
    <row r="177" spans="4:28" ht="49.5" hidden="1" customHeight="1">
      <c r="D177" s="26"/>
      <c r="F177" s="26"/>
      <c r="T177" s="3"/>
      <c r="U177" s="3"/>
      <c r="V177" s="3"/>
      <c r="W177" s="3"/>
      <c r="X177" s="3"/>
      <c r="Y177" s="3"/>
      <c r="Z177" s="14"/>
      <c r="AA177" s="14"/>
      <c r="AB177" s="12"/>
    </row>
    <row r="178" spans="4:28" ht="49.5" hidden="1" customHeight="1">
      <c r="T178" s="3"/>
      <c r="U178" s="3"/>
      <c r="V178" s="3"/>
      <c r="W178" s="3"/>
      <c r="X178" s="3"/>
      <c r="Y178" s="3"/>
      <c r="Z178" s="14"/>
      <c r="AA178" s="14"/>
      <c r="AB178" s="12"/>
    </row>
    <row r="179" spans="4:28" ht="49.5" hidden="1" customHeight="1">
      <c r="T179" s="3"/>
      <c r="U179" s="3"/>
      <c r="V179" s="3"/>
      <c r="W179" s="3"/>
      <c r="X179" s="3"/>
      <c r="Y179" s="3"/>
      <c r="Z179" s="14"/>
      <c r="AA179" s="14"/>
      <c r="AB179" s="12"/>
    </row>
    <row r="180" spans="4:28" ht="49.5" hidden="1" customHeight="1">
      <c r="T180" s="3"/>
      <c r="U180" s="3"/>
      <c r="V180" s="3"/>
      <c r="W180" s="3"/>
      <c r="X180" s="3"/>
      <c r="Y180" s="3"/>
      <c r="Z180" s="14"/>
      <c r="AA180" s="14"/>
      <c r="AB180" s="12"/>
    </row>
    <row r="181" spans="4:28" ht="49.5" hidden="1" customHeight="1">
      <c r="D181" s="16">
        <v>1.25</v>
      </c>
      <c r="F181" s="16">
        <v>1.25</v>
      </c>
      <c r="I181" s="33" t="s">
        <v>69</v>
      </c>
      <c r="J181" s="33" t="s">
        <v>67</v>
      </c>
      <c r="T181" s="3"/>
      <c r="U181" s="3"/>
      <c r="V181" s="3"/>
      <c r="W181" s="3"/>
      <c r="X181" s="3"/>
      <c r="Y181" s="3"/>
      <c r="Z181" s="14"/>
      <c r="AA181" s="14"/>
      <c r="AB181" s="12"/>
    </row>
    <row r="182" spans="4:28" ht="49.5" hidden="1" customHeight="1">
      <c r="D182" s="16" t="e">
        <f>G167+#REF!+#REF!+G155+#REF!+G147+#REF!+G124+G100+#REF!+G95+G83+#REF!+G39+G16+#REF!</f>
        <v>#REF!</v>
      </c>
      <c r="F182" s="16" t="e">
        <f>I167+#REF!+#REF!+I155+#REF!+I147+#REF!+I124+I100+#REF!+I95+I83+#REF!+I39+I16+#REF!</f>
        <v>#REF!</v>
      </c>
      <c r="I182" s="53" t="e">
        <f>K167+#REF!+#REF!+K155+#REF!+K147+#REF!+K124+K100+#REF!+K95+K83+#REF!+K39+K16+#REF!</f>
        <v>#REF!</v>
      </c>
      <c r="J182" s="33" t="e">
        <f>M167+#REF!+#REF!+M155+#REF!+#REF!+M124+M100+#REF!+M95+M83+M39+#REF!+M16+M147+#REF!</f>
        <v>#REF!</v>
      </c>
      <c r="T182" s="3"/>
      <c r="U182" s="3"/>
      <c r="V182" s="3"/>
      <c r="W182" s="3"/>
      <c r="X182" s="3"/>
      <c r="Y182" s="3"/>
      <c r="Z182" s="14"/>
      <c r="AA182" s="14"/>
      <c r="AB182" s="12"/>
    </row>
    <row r="183" spans="4:28" ht="49.5" customHeight="1">
      <c r="T183" s="3"/>
      <c r="U183" s="3"/>
      <c r="V183" s="3"/>
      <c r="W183" s="3"/>
      <c r="X183" s="3"/>
      <c r="Y183" s="3"/>
      <c r="Z183" s="14"/>
      <c r="AA183" s="14"/>
      <c r="AB183" s="12"/>
    </row>
    <row r="184" spans="4:28" ht="49.5" customHeight="1">
      <c r="T184" s="3"/>
      <c r="U184" s="3"/>
      <c r="V184" s="3"/>
      <c r="W184" s="3"/>
      <c r="X184" s="3"/>
      <c r="Y184" s="3"/>
      <c r="Z184" s="14"/>
      <c r="AA184" s="14"/>
      <c r="AB184" s="12"/>
    </row>
    <row r="185" spans="4:28" ht="49.5" customHeight="1">
      <c r="T185" s="3"/>
      <c r="U185" s="3"/>
      <c r="V185" s="3"/>
      <c r="W185" s="3"/>
      <c r="X185" s="3"/>
      <c r="Y185" s="3"/>
      <c r="Z185" s="14"/>
      <c r="AA185" s="14"/>
      <c r="AB185" s="12"/>
    </row>
    <row r="186" spans="4:28" ht="49.5" customHeight="1">
      <c r="T186" s="3"/>
      <c r="U186" s="3"/>
      <c r="V186" s="3"/>
      <c r="W186" s="3"/>
      <c r="X186" s="3"/>
      <c r="Y186" s="3"/>
      <c r="Z186" s="14"/>
      <c r="AA186" s="14"/>
      <c r="AB186" s="12"/>
    </row>
    <row r="187" spans="4:28" ht="49.5" customHeight="1">
      <c r="T187" s="3"/>
      <c r="U187" s="3"/>
      <c r="V187" s="3"/>
      <c r="W187" s="3"/>
      <c r="X187" s="3"/>
      <c r="Y187" s="3"/>
      <c r="Z187" s="14"/>
      <c r="AA187" s="14"/>
      <c r="AB187" s="12"/>
    </row>
    <row r="188" spans="4:28" ht="49.5" customHeight="1">
      <c r="Z188" s="12"/>
      <c r="AA188" s="12"/>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row r="197" spans="26:28" ht="49.5" customHeight="1">
      <c r="Z197" s="12"/>
      <c r="AA197" s="12"/>
      <c r="AB197" s="12"/>
    </row>
    <row r="198" spans="26:28" ht="49.5" customHeight="1">
      <c r="Z198" s="12"/>
      <c r="AA198" s="12"/>
      <c r="AB198" s="12"/>
    </row>
    <row r="199" spans="26:28" ht="49.5" customHeight="1">
      <c r="Z199" s="12"/>
      <c r="AA199" s="12"/>
      <c r="AB199" s="12"/>
    </row>
    <row r="200" spans="26:28" ht="49.5" customHeight="1">
      <c r="Z200" s="12"/>
      <c r="AA200" s="12"/>
      <c r="AB200" s="12"/>
    </row>
    <row r="201" spans="26:28" ht="49.5" customHeight="1">
      <c r="Z201" s="12"/>
      <c r="AA201" s="12"/>
      <c r="AB201" s="12"/>
    </row>
  </sheetData>
  <mergeCells count="129">
    <mergeCell ref="Q1:R1"/>
    <mergeCell ref="G1:H1"/>
    <mergeCell ref="I1:J1"/>
    <mergeCell ref="D3:D4"/>
    <mergeCell ref="F3:F4"/>
    <mergeCell ref="G3:H3"/>
    <mergeCell ref="I3:J3"/>
    <mergeCell ref="K3:L3"/>
    <mergeCell ref="M3:N3"/>
    <mergeCell ref="O3:O4"/>
    <mergeCell ref="P3:P4"/>
    <mergeCell ref="Q3:Q4"/>
    <mergeCell ref="S3:S4"/>
    <mergeCell ref="I16:J16"/>
    <mergeCell ref="K16:L16"/>
    <mergeCell ref="M16:N16"/>
    <mergeCell ref="G18:H18"/>
    <mergeCell ref="I18:J18"/>
    <mergeCell ref="D21:D22"/>
    <mergeCell ref="F21:F22"/>
    <mergeCell ref="G21:H21"/>
    <mergeCell ref="I21:J21"/>
    <mergeCell ref="K21:L21"/>
    <mergeCell ref="M21:N21"/>
    <mergeCell ref="O21:O22"/>
    <mergeCell ref="P21:P22"/>
    <mergeCell ref="Q21:Q22"/>
    <mergeCell ref="S21:S22"/>
    <mergeCell ref="G39:H39"/>
    <mergeCell ref="I39:J39"/>
    <mergeCell ref="K39:L39"/>
    <mergeCell ref="M39:N39"/>
    <mergeCell ref="G41:H41"/>
    <mergeCell ref="I41:J41"/>
    <mergeCell ref="G59:H59"/>
    <mergeCell ref="I59:J59"/>
    <mergeCell ref="K59:L59"/>
    <mergeCell ref="M59:N59"/>
    <mergeCell ref="G61:H61"/>
    <mergeCell ref="I61:J61"/>
    <mergeCell ref="D64:D65"/>
    <mergeCell ref="F64:F65"/>
    <mergeCell ref="G64:H64"/>
    <mergeCell ref="I64:J64"/>
    <mergeCell ref="K64:L64"/>
    <mergeCell ref="M64:N64"/>
    <mergeCell ref="O64:O65"/>
    <mergeCell ref="P64:P65"/>
    <mergeCell ref="Q64:Q65"/>
    <mergeCell ref="S64:S65"/>
    <mergeCell ref="G70:H70"/>
    <mergeCell ref="I70:J70"/>
    <mergeCell ref="M70:N70"/>
    <mergeCell ref="G83:H83"/>
    <mergeCell ref="I83:J83"/>
    <mergeCell ref="K83:L83"/>
    <mergeCell ref="M83:N83"/>
    <mergeCell ref="G85:H85"/>
    <mergeCell ref="I85:J85"/>
    <mergeCell ref="D88:D89"/>
    <mergeCell ref="F88:F89"/>
    <mergeCell ref="G88:H88"/>
    <mergeCell ref="I88:J88"/>
    <mergeCell ref="K88:L88"/>
    <mergeCell ref="M88:N88"/>
    <mergeCell ref="O88:O89"/>
    <mergeCell ref="P88:P89"/>
    <mergeCell ref="Q88:Q89"/>
    <mergeCell ref="S88:S89"/>
    <mergeCell ref="G95:H95"/>
    <mergeCell ref="I95:J95"/>
    <mergeCell ref="K95:L95"/>
    <mergeCell ref="M95:N95"/>
    <mergeCell ref="O95:P95"/>
    <mergeCell ref="G100:H100"/>
    <mergeCell ref="I100:J100"/>
    <mergeCell ref="K100:L100"/>
    <mergeCell ref="M100:N100"/>
    <mergeCell ref="G102:H102"/>
    <mergeCell ref="I102:J102"/>
    <mergeCell ref="D105:D106"/>
    <mergeCell ref="F105:F106"/>
    <mergeCell ref="G105:H105"/>
    <mergeCell ref="I105:J105"/>
    <mergeCell ref="K105:L105"/>
    <mergeCell ref="M105:N105"/>
    <mergeCell ref="O105:O106"/>
    <mergeCell ref="P105:P106"/>
    <mergeCell ref="Q105:Q106"/>
    <mergeCell ref="S105:S106"/>
    <mergeCell ref="G124:H124"/>
    <mergeCell ref="I124:J124"/>
    <mergeCell ref="K124:L124"/>
    <mergeCell ref="M124:N124"/>
    <mergeCell ref="G126:H126"/>
    <mergeCell ref="I126:J126"/>
    <mergeCell ref="S129:S130"/>
    <mergeCell ref="G134:H134"/>
    <mergeCell ref="I134:J134"/>
    <mergeCell ref="K134:L134"/>
    <mergeCell ref="M134:N134"/>
    <mergeCell ref="D129:D130"/>
    <mergeCell ref="F129:F130"/>
    <mergeCell ref="G129:H129"/>
    <mergeCell ref="I129:J129"/>
    <mergeCell ref="K129:L129"/>
    <mergeCell ref="O147:P147"/>
    <mergeCell ref="G150:H150"/>
    <mergeCell ref="I150:J150"/>
    <mergeCell ref="O129:O130"/>
    <mergeCell ref="P129:P130"/>
    <mergeCell ref="Q129:Q130"/>
    <mergeCell ref="M129:N129"/>
    <mergeCell ref="K160:L160"/>
    <mergeCell ref="M160:N160"/>
    <mergeCell ref="G147:H147"/>
    <mergeCell ref="I147:J147"/>
    <mergeCell ref="K147:L147"/>
    <mergeCell ref="M147:N147"/>
    <mergeCell ref="G167:H167"/>
    <mergeCell ref="I167:J167"/>
    <mergeCell ref="K167:L167"/>
    <mergeCell ref="M167:N167"/>
    <mergeCell ref="G155:H155"/>
    <mergeCell ref="I155:J155"/>
    <mergeCell ref="K155:L155"/>
    <mergeCell ref="M155:N155"/>
    <mergeCell ref="G160:H160"/>
    <mergeCell ref="I160:J160"/>
  </mergeCells>
  <printOptions horizontalCentered="1"/>
  <pageMargins left="0" right="0" top="0.78740157480314965" bottom="0.98425196850393704" header="0.39370078740157483" footer="0.59055118110236227"/>
  <pageSetup paperSize="9" scale="90"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3"/>
  <sheetViews>
    <sheetView tabSelected="1" view="pageBreakPreview" topLeftCell="C1" zoomScale="85" zoomScaleNormal="25" zoomScaleSheetLayoutView="85" workbookViewId="0">
      <selection activeCell="D5" sqref="D5"/>
    </sheetView>
  </sheetViews>
  <sheetFormatPr defaultRowHeight="19.5"/>
  <cols>
    <col min="1" max="2" width="21.28515625" style="271" hidden="1" customWidth="1"/>
    <col min="3" max="3" width="21" style="271" customWidth="1"/>
    <col min="4" max="4" width="20.42578125" style="271" customWidth="1"/>
    <col min="5" max="5" width="19" style="271" hidden="1" customWidth="1"/>
    <col min="6" max="6" width="17.5703125" style="271" hidden="1" customWidth="1"/>
    <col min="7" max="10" width="17.85546875" style="271" hidden="1" customWidth="1"/>
    <col min="11" max="11" width="20.5703125" style="271" customWidth="1"/>
    <col min="12" max="12" width="14.5703125" style="271" customWidth="1"/>
    <col min="13" max="13" width="20.7109375" style="271" customWidth="1"/>
    <col min="14" max="14" width="24" style="271" customWidth="1"/>
    <col min="15" max="16" width="11.28515625" style="271" customWidth="1"/>
    <col min="17" max="17" width="9.5703125" style="271" customWidth="1"/>
    <col min="18" max="18" width="23.7109375" style="271" customWidth="1"/>
    <col min="19" max="19" width="19.28515625" style="271" customWidth="1"/>
    <col min="20" max="20" width="9.85546875" style="271" customWidth="1"/>
    <col min="21" max="21" width="3.5703125" style="271" customWidth="1"/>
    <col min="22" max="22" width="9.140625" style="271"/>
    <col min="23" max="23" width="18.5703125" style="271" customWidth="1"/>
    <col min="24" max="24" width="9.28515625" style="271" bestFit="1" customWidth="1"/>
    <col min="25" max="25" width="20" style="271" bestFit="1" customWidth="1"/>
    <col min="26" max="16384" width="9.140625" style="271"/>
  </cols>
  <sheetData>
    <row r="1" spans="1:25" ht="27.75" customHeight="1">
      <c r="C1" s="273"/>
      <c r="D1" s="273"/>
      <c r="E1" s="273"/>
      <c r="F1" s="273"/>
      <c r="G1" s="273"/>
      <c r="H1" s="273"/>
      <c r="I1" s="273"/>
      <c r="J1" s="273"/>
      <c r="K1" s="273"/>
      <c r="L1" s="273"/>
      <c r="M1" s="273"/>
      <c r="N1" s="467" t="s">
        <v>151</v>
      </c>
      <c r="O1" s="467"/>
      <c r="P1" s="467"/>
      <c r="Q1" s="467"/>
    </row>
    <row r="2" spans="1:25" ht="26.25" customHeight="1">
      <c r="C2" s="273"/>
      <c r="D2" s="273"/>
      <c r="E2" s="273"/>
      <c r="F2" s="273"/>
      <c r="G2" s="273"/>
      <c r="H2" s="273"/>
      <c r="I2" s="273"/>
      <c r="N2" s="467" t="s">
        <v>517</v>
      </c>
      <c r="O2" s="467"/>
      <c r="P2" s="467"/>
      <c r="Q2" s="467"/>
    </row>
    <row r="3" spans="1:25" ht="24.75" customHeight="1">
      <c r="C3" s="272"/>
      <c r="D3" s="273"/>
      <c r="E3" s="273"/>
      <c r="F3" s="273"/>
      <c r="G3" s="273"/>
      <c r="H3" s="273"/>
      <c r="I3" s="273"/>
      <c r="J3" s="273"/>
      <c r="K3" s="466"/>
      <c r="L3" s="466"/>
      <c r="M3" s="466"/>
      <c r="N3" s="472" t="s">
        <v>383</v>
      </c>
      <c r="O3" s="472"/>
      <c r="P3" s="472"/>
      <c r="Q3" s="472"/>
    </row>
    <row r="4" spans="1:25" ht="31.5">
      <c r="C4" s="272"/>
      <c r="D4" s="273"/>
      <c r="E4" s="273"/>
      <c r="F4" s="273"/>
      <c r="G4" s="273"/>
      <c r="H4" s="273"/>
      <c r="I4" s="273"/>
      <c r="J4" s="273"/>
      <c r="K4" s="470"/>
      <c r="L4" s="470"/>
      <c r="N4" s="468" t="s">
        <v>518</v>
      </c>
      <c r="O4" s="468"/>
      <c r="P4" s="468"/>
      <c r="Q4" s="468"/>
      <c r="S4" s="274"/>
      <c r="T4" s="274"/>
      <c r="U4" s="275"/>
    </row>
    <row r="5" spans="1:25" ht="26.25" customHeight="1">
      <c r="C5" s="272"/>
      <c r="D5" s="273"/>
      <c r="E5" s="273"/>
      <c r="F5" s="273"/>
      <c r="G5" s="273"/>
      <c r="H5" s="273"/>
      <c r="I5" s="273"/>
      <c r="J5" s="273"/>
      <c r="L5" s="469"/>
      <c r="N5" s="467" t="s">
        <v>302</v>
      </c>
      <c r="O5" s="467"/>
      <c r="P5" s="467"/>
      <c r="Q5" s="467"/>
    </row>
    <row r="6" spans="1:25" ht="31.5">
      <c r="C6" s="272"/>
      <c r="D6" s="273"/>
      <c r="E6" s="273"/>
      <c r="F6" s="273"/>
      <c r="G6" s="273"/>
      <c r="H6" s="273"/>
      <c r="I6" s="273"/>
      <c r="J6" s="273"/>
      <c r="L6" s="471"/>
      <c r="N6" s="473" t="s">
        <v>145</v>
      </c>
      <c r="O6" s="473"/>
      <c r="P6" s="473"/>
      <c r="Q6" s="473"/>
      <c r="R6" s="273"/>
      <c r="S6" s="273"/>
      <c r="T6" s="273"/>
      <c r="U6" s="276"/>
    </row>
    <row r="7" spans="1:25" ht="24.95" customHeight="1" thickBot="1">
      <c r="C7" s="339"/>
      <c r="D7" s="453" t="s">
        <v>301</v>
      </c>
      <c r="E7" s="453"/>
      <c r="F7" s="453"/>
      <c r="G7" s="453"/>
      <c r="H7" s="453"/>
      <c r="I7" s="453"/>
      <c r="J7" s="453"/>
      <c r="K7" s="453"/>
      <c r="L7" s="453"/>
      <c r="M7" s="453"/>
      <c r="N7" s="454"/>
      <c r="O7" s="454"/>
      <c r="P7" s="454"/>
      <c r="Q7" s="454"/>
      <c r="R7" s="454"/>
      <c r="S7" s="453"/>
      <c r="T7" s="453"/>
      <c r="U7" s="277"/>
    </row>
    <row r="8" spans="1:25" ht="41.25" customHeight="1" thickBot="1">
      <c r="C8" s="452" t="s">
        <v>375</v>
      </c>
      <c r="D8" s="452"/>
      <c r="E8" s="461" t="s">
        <v>63</v>
      </c>
      <c r="F8" s="462"/>
      <c r="G8" s="463"/>
      <c r="H8" s="464" t="s">
        <v>70</v>
      </c>
      <c r="I8" s="465"/>
      <c r="J8" s="465"/>
      <c r="K8" s="444" t="s">
        <v>286</v>
      </c>
      <c r="L8" s="445"/>
      <c r="M8" s="446"/>
      <c r="N8" s="444" t="s">
        <v>287</v>
      </c>
      <c r="O8" s="445"/>
      <c r="P8" s="445"/>
      <c r="Q8" s="445"/>
      <c r="R8" s="446"/>
      <c r="S8" s="459" t="s">
        <v>148</v>
      </c>
      <c r="T8" s="457" t="s">
        <v>24</v>
      </c>
      <c r="U8" s="291"/>
    </row>
    <row r="9" spans="1:25" ht="45.75" customHeight="1" thickBot="1">
      <c r="C9" s="338" t="s">
        <v>374</v>
      </c>
      <c r="D9" s="338" t="s">
        <v>373</v>
      </c>
      <c r="E9" s="292" t="s">
        <v>26</v>
      </c>
      <c r="F9" s="293" t="s">
        <v>25</v>
      </c>
      <c r="G9" s="294" t="s">
        <v>65</v>
      </c>
      <c r="H9" s="292" t="s">
        <v>26</v>
      </c>
      <c r="I9" s="293" t="s">
        <v>25</v>
      </c>
      <c r="J9" s="295" t="s">
        <v>65</v>
      </c>
      <c r="K9" s="292" t="s">
        <v>26</v>
      </c>
      <c r="L9" s="294" t="s">
        <v>516</v>
      </c>
      <c r="M9" s="296" t="s">
        <v>477</v>
      </c>
      <c r="N9" s="292" t="s">
        <v>26</v>
      </c>
      <c r="O9" s="297" t="s">
        <v>368</v>
      </c>
      <c r="P9" s="297" t="s">
        <v>479</v>
      </c>
      <c r="Q9" s="294" t="s">
        <v>369</v>
      </c>
      <c r="R9" s="296" t="s">
        <v>478</v>
      </c>
      <c r="S9" s="460"/>
      <c r="T9" s="458"/>
      <c r="U9" s="298"/>
    </row>
    <row r="10" spans="1:25" ht="24.95" customHeight="1">
      <c r="A10" s="271">
        <f>C10*L10</f>
        <v>55081067.580000006</v>
      </c>
      <c r="B10" s="271">
        <f>D10*L10</f>
        <v>13431134.102400012</v>
      </c>
      <c r="C10" s="302">
        <f>'1'!$G$11</f>
        <v>41633460</v>
      </c>
      <c r="D10" s="302">
        <f>'1'!$H$11</f>
        <v>10152028.800000008</v>
      </c>
      <c r="E10" s="299">
        <v>152248891.29449999</v>
      </c>
      <c r="F10" s="299" t="s">
        <v>66</v>
      </c>
      <c r="G10" s="299">
        <v>72791000</v>
      </c>
      <c r="H10" s="300" t="e">
        <f>J10*1.3*1.1*1.05*1.05</f>
        <v>#REF!</v>
      </c>
      <c r="I10" s="299" t="s">
        <v>102</v>
      </c>
      <c r="J10" s="301" t="e">
        <f>'1'!#REF!</f>
        <v>#REF!</v>
      </c>
      <c r="K10" s="302">
        <f>L10*M10</f>
        <v>410603328.12240005</v>
      </c>
      <c r="L10" s="299">
        <f>O10*P10*Q10</f>
        <v>1.3230000000000002</v>
      </c>
      <c r="M10" s="303">
        <f>'1'!$I$11</f>
        <v>310357768.80000001</v>
      </c>
      <c r="N10" s="302">
        <f>R10*Q10*O10*P10</f>
        <v>452253261.60000002</v>
      </c>
      <c r="O10" s="299">
        <v>1.2</v>
      </c>
      <c r="P10" s="299">
        <v>1.05</v>
      </c>
      <c r="Q10" s="299">
        <v>1.05</v>
      </c>
      <c r="R10" s="303">
        <f>'1'!$M$11</f>
        <v>341839200</v>
      </c>
      <c r="S10" s="304" t="s">
        <v>27</v>
      </c>
      <c r="T10" s="305" t="s">
        <v>15</v>
      </c>
      <c r="U10" s="438"/>
    </row>
    <row r="11" spans="1:25" ht="24.95" customHeight="1">
      <c r="A11" s="271">
        <f t="shared" ref="A11:A22" si="0">C11*L11</f>
        <v>48116743.718400009</v>
      </c>
      <c r="B11" s="271">
        <f t="shared" ref="B11:B22" si="1">D11*L11</f>
        <v>1053743.0400000003</v>
      </c>
      <c r="C11" s="302">
        <f>'2'!$G$17</f>
        <v>34096332</v>
      </c>
      <c r="D11" s="302">
        <f>'2'!$H$17</f>
        <v>746700</v>
      </c>
      <c r="E11" s="306">
        <v>920421654.32217014</v>
      </c>
      <c r="F11" s="306" t="s">
        <v>66</v>
      </c>
      <c r="G11" s="306">
        <v>440058460</v>
      </c>
      <c r="H11" s="307">
        <f t="shared" ref="H11:H21" si="2">J11*1.3*1.1*1.05*1.05</f>
        <v>65638272.199500009</v>
      </c>
      <c r="I11" s="306" t="s">
        <v>102</v>
      </c>
      <c r="J11" s="308">
        <f>'1'!G11</f>
        <v>41633460</v>
      </c>
      <c r="K11" s="302">
        <f t="shared" ref="K11:K22" si="3">L11*M11</f>
        <v>4893742.4256000007</v>
      </c>
      <c r="L11" s="299">
        <f t="shared" ref="L11:L22" si="4">O11*P11*Q11</f>
        <v>1.4112000000000002</v>
      </c>
      <c r="M11" s="310">
        <f>'2'!$I$17</f>
        <v>3467788</v>
      </c>
      <c r="N11" s="302">
        <f t="shared" ref="N11:N22" si="5">R11*Q11*O11*P11</f>
        <v>51956743.10400001</v>
      </c>
      <c r="O11" s="299">
        <v>1.2</v>
      </c>
      <c r="P11" s="299">
        <v>1.05</v>
      </c>
      <c r="Q11" s="299">
        <v>1.1200000000000001</v>
      </c>
      <c r="R11" s="371">
        <f>'2'!$M$17</f>
        <v>36817420</v>
      </c>
      <c r="S11" s="313" t="s">
        <v>515</v>
      </c>
      <c r="T11" s="312" t="s">
        <v>16</v>
      </c>
      <c r="U11" s="438"/>
      <c r="W11" s="278"/>
      <c r="Y11" s="278"/>
    </row>
    <row r="12" spans="1:25" ht="24.95" customHeight="1">
      <c r="A12" s="271">
        <f t="shared" si="0"/>
        <v>118673659.0096848</v>
      </c>
      <c r="B12" s="271">
        <f t="shared" si="1"/>
        <v>74444882.03672941</v>
      </c>
      <c r="C12" s="302">
        <f>'3'!$G$19</f>
        <v>84101655.200000003</v>
      </c>
      <c r="D12" s="302">
        <f>'3'!$H$19</f>
        <v>52757603.100000009</v>
      </c>
      <c r="E12" s="306">
        <v>14616021799.624249</v>
      </c>
      <c r="F12" s="306" t="s">
        <v>66</v>
      </c>
      <c r="G12" s="306">
        <v>6987997310</v>
      </c>
      <c r="H12" s="307">
        <f t="shared" si="2"/>
        <v>2117415916.3657506</v>
      </c>
      <c r="I12" s="306" t="s">
        <v>102</v>
      </c>
      <c r="J12" s="308">
        <f>'1'!G34</f>
        <v>1343048010</v>
      </c>
      <c r="K12" s="302">
        <f t="shared" si="3"/>
        <v>267965601.891435</v>
      </c>
      <c r="L12" s="299">
        <f t="shared" si="4"/>
        <v>1.4110739999999999</v>
      </c>
      <c r="M12" s="310">
        <f>'3'!$I$19</f>
        <v>189901877.5</v>
      </c>
      <c r="N12" s="302">
        <f t="shared" si="5"/>
        <v>312194378.86439037</v>
      </c>
      <c r="O12" s="299">
        <v>1.2</v>
      </c>
      <c r="P12" s="299">
        <v>1.05</v>
      </c>
      <c r="Q12" s="299">
        <v>1.1198999999999999</v>
      </c>
      <c r="R12" s="310">
        <f>'3'!$M$19</f>
        <v>221245929.59999999</v>
      </c>
      <c r="S12" s="313" t="s">
        <v>28</v>
      </c>
      <c r="T12" s="314" t="s">
        <v>17</v>
      </c>
      <c r="U12" s="438"/>
      <c r="W12" s="278"/>
      <c r="Y12" s="278"/>
    </row>
    <row r="13" spans="1:25" ht="24.95" customHeight="1">
      <c r="A13" s="271">
        <f t="shared" si="0"/>
        <v>321093176.01479995</v>
      </c>
      <c r="B13" s="271">
        <f t="shared" si="1"/>
        <v>0</v>
      </c>
      <c r="C13" s="302">
        <f>'5'!$G$11</f>
        <v>225738199.99999994</v>
      </c>
      <c r="D13" s="302">
        <f>'5'!$H$11</f>
        <v>0</v>
      </c>
      <c r="E13" s="306"/>
      <c r="F13" s="306"/>
      <c r="G13" s="306"/>
      <c r="H13" s="307"/>
      <c r="I13" s="306"/>
      <c r="J13" s="308"/>
      <c r="K13" s="302">
        <f t="shared" si="3"/>
        <v>1135032035.7852001</v>
      </c>
      <c r="L13" s="299">
        <f t="shared" si="4"/>
        <v>1.4224140000000001</v>
      </c>
      <c r="M13" s="310">
        <f>'5'!$I$11</f>
        <v>797961800.00000012</v>
      </c>
      <c r="N13" s="302">
        <f t="shared" si="5"/>
        <v>1456125211.8</v>
      </c>
      <c r="O13" s="299">
        <v>1.2</v>
      </c>
      <c r="P13" s="299">
        <v>1.05</v>
      </c>
      <c r="Q13" s="299">
        <v>1.1289</v>
      </c>
      <c r="R13" s="310">
        <f>'5'!$M$11</f>
        <v>1023700000</v>
      </c>
      <c r="S13" s="313" t="s">
        <v>213</v>
      </c>
      <c r="T13" s="314" t="s">
        <v>212</v>
      </c>
      <c r="U13" s="438"/>
      <c r="W13" s="278"/>
      <c r="Y13" s="278"/>
    </row>
    <row r="14" spans="1:25" ht="24.95" customHeight="1">
      <c r="A14" s="271">
        <f t="shared" si="0"/>
        <v>5389655.04</v>
      </c>
      <c r="B14" s="271">
        <f t="shared" si="1"/>
        <v>4942805.6160000004</v>
      </c>
      <c r="C14" s="302">
        <f>'7'!$G$13</f>
        <v>3819199.9999999995</v>
      </c>
      <c r="D14" s="302">
        <f>'7'!$H$13</f>
        <v>3502555</v>
      </c>
      <c r="E14" s="306">
        <v>17114629094.527967</v>
      </c>
      <c r="F14" s="306" t="s">
        <v>66</v>
      </c>
      <c r="G14" s="306">
        <v>8182594670</v>
      </c>
      <c r="H14" s="307" t="e">
        <f t="shared" si="2"/>
        <v>#REF!</v>
      </c>
      <c r="I14" s="306" t="s">
        <v>102</v>
      </c>
      <c r="J14" s="308" t="e">
        <f>'1'!#REF!</f>
        <v>#REF!</v>
      </c>
      <c r="K14" s="302">
        <f t="shared" si="3"/>
        <v>4942805.6160000004</v>
      </c>
      <c r="L14" s="299">
        <f t="shared" si="4"/>
        <v>1.4112000000000002</v>
      </c>
      <c r="M14" s="310">
        <f>'7'!$I$13</f>
        <v>3502555</v>
      </c>
      <c r="N14" s="302">
        <f t="shared" si="5"/>
        <v>5389655.04</v>
      </c>
      <c r="O14" s="299">
        <v>1.2</v>
      </c>
      <c r="P14" s="299">
        <v>1.05</v>
      </c>
      <c r="Q14" s="299">
        <v>1.1200000000000001</v>
      </c>
      <c r="R14" s="310">
        <f>'7'!$M$13</f>
        <v>3819199.9999999995</v>
      </c>
      <c r="S14" s="313" t="s">
        <v>100</v>
      </c>
      <c r="T14" s="314" t="s">
        <v>99</v>
      </c>
      <c r="U14" s="438"/>
      <c r="W14" s="278"/>
      <c r="Y14" s="278"/>
    </row>
    <row r="15" spans="1:25" ht="24.95" customHeight="1">
      <c r="A15" s="271">
        <f t="shared" si="0"/>
        <v>221723566.84800005</v>
      </c>
      <c r="B15" s="271">
        <f t="shared" si="1"/>
        <v>140920999.63200003</v>
      </c>
      <c r="C15" s="302">
        <f>'8'!$G$16</f>
        <v>157117040</v>
      </c>
      <c r="D15" s="302">
        <f>'8'!$H$16</f>
        <v>99858985</v>
      </c>
      <c r="E15" s="306">
        <v>17241787533.354389</v>
      </c>
      <c r="F15" s="306" t="s">
        <v>66</v>
      </c>
      <c r="G15" s="306">
        <v>8243389792</v>
      </c>
      <c r="H15" s="307">
        <f t="shared" si="2"/>
        <v>794216714.79150009</v>
      </c>
      <c r="I15" s="306" t="s">
        <v>102</v>
      </c>
      <c r="J15" s="308">
        <f>'1'!G78</f>
        <v>503760820</v>
      </c>
      <c r="K15" s="302">
        <f t="shared" si="3"/>
        <v>183621188.01600003</v>
      </c>
      <c r="L15" s="299">
        <f t="shared" si="4"/>
        <v>1.4112000000000002</v>
      </c>
      <c r="M15" s="310">
        <f>'8'!$I$16</f>
        <v>130117055</v>
      </c>
      <c r="N15" s="302">
        <f t="shared" si="5"/>
        <v>264423755.23200002</v>
      </c>
      <c r="O15" s="299">
        <v>1.2</v>
      </c>
      <c r="P15" s="299">
        <v>1.05</v>
      </c>
      <c r="Q15" s="299">
        <v>1.1200000000000001</v>
      </c>
      <c r="R15" s="310">
        <f>'8'!$M$16</f>
        <v>187375110</v>
      </c>
      <c r="S15" s="315" t="s">
        <v>29</v>
      </c>
      <c r="T15" s="314" t="s">
        <v>101</v>
      </c>
      <c r="U15" s="438"/>
      <c r="W15" s="278"/>
      <c r="Y15" s="278"/>
    </row>
    <row r="16" spans="1:25" ht="24.95" customHeight="1">
      <c r="A16" s="271">
        <f t="shared" si="0"/>
        <v>8933205.2901839986</v>
      </c>
      <c r="B16" s="271">
        <f t="shared" si="1"/>
        <v>439152089.76827991</v>
      </c>
      <c r="C16" s="302">
        <f>'9'!$G$12</f>
        <v>6342678</v>
      </c>
      <c r="D16" s="302">
        <f>'9'!$H$12</f>
        <v>311803010</v>
      </c>
      <c r="E16" s="306">
        <v>211800870.16288203</v>
      </c>
      <c r="F16" s="306" t="s">
        <v>66</v>
      </c>
      <c r="G16" s="306">
        <v>101263116</v>
      </c>
      <c r="H16" s="307">
        <f t="shared" si="2"/>
        <v>914146562.21438527</v>
      </c>
      <c r="I16" s="306" t="s">
        <v>102</v>
      </c>
      <c r="J16" s="308">
        <f>'1'!G90</f>
        <v>579830685.00666642</v>
      </c>
      <c r="K16" s="302">
        <f t="shared" si="3"/>
        <v>841780841.54169583</v>
      </c>
      <c r="L16" s="299">
        <f t="shared" si="4"/>
        <v>1.4084279999999998</v>
      </c>
      <c r="M16" s="310">
        <f>'9'!$I$12</f>
        <v>597674032</v>
      </c>
      <c r="N16" s="302">
        <f t="shared" si="5"/>
        <v>411561957.06359994</v>
      </c>
      <c r="O16" s="299">
        <v>1.2</v>
      </c>
      <c r="P16" s="299">
        <v>1.05</v>
      </c>
      <c r="Q16" s="299">
        <v>1.1177999999999999</v>
      </c>
      <c r="R16" s="310">
        <f>'9'!$M$12</f>
        <v>292213700</v>
      </c>
      <c r="S16" s="313" t="s">
        <v>30</v>
      </c>
      <c r="T16" s="314" t="s">
        <v>18</v>
      </c>
      <c r="U16" s="438"/>
      <c r="W16" s="278"/>
      <c r="Y16" s="278"/>
    </row>
    <row r="17" spans="1:25" ht="24.95" customHeight="1">
      <c r="A17" s="271">
        <f t="shared" si="0"/>
        <v>27745715.894400001</v>
      </c>
      <c r="B17" s="271">
        <f t="shared" si="1"/>
        <v>251828094.36959991</v>
      </c>
      <c r="C17" s="302">
        <f>'10'!$G$12</f>
        <v>19282320</v>
      </c>
      <c r="D17" s="302">
        <f>'10'!$H$12</f>
        <v>175011879.99999994</v>
      </c>
      <c r="E17" s="306">
        <v>5521810962.9582901</v>
      </c>
      <c r="F17" s="306" t="s">
        <v>66</v>
      </c>
      <c r="G17" s="306">
        <v>2640007020</v>
      </c>
      <c r="H17" s="307" t="e">
        <f t="shared" si="2"/>
        <v>#REF!</v>
      </c>
      <c r="I17" s="306" t="s">
        <v>102</v>
      </c>
      <c r="J17" s="308" t="e">
        <f>'1'!#REF!</f>
        <v>#REF!</v>
      </c>
      <c r="K17" s="302">
        <f t="shared" si="3"/>
        <v>1444258796.0976</v>
      </c>
      <c r="L17" s="299">
        <f t="shared" si="4"/>
        <v>1.43892</v>
      </c>
      <c r="M17" s="310">
        <f>'10'!$I$12</f>
        <v>1003710280</v>
      </c>
      <c r="N17" s="302">
        <f t="shared" si="5"/>
        <v>1220176417.6223998</v>
      </c>
      <c r="O17" s="299">
        <v>1.2</v>
      </c>
      <c r="P17" s="299">
        <v>1.05</v>
      </c>
      <c r="Q17" s="299">
        <v>1.1419999999999999</v>
      </c>
      <c r="R17" s="310">
        <f>'10'!$M$12</f>
        <v>847980720</v>
      </c>
      <c r="S17" s="313" t="s">
        <v>62</v>
      </c>
      <c r="T17" s="314" t="s">
        <v>61</v>
      </c>
      <c r="U17" s="438"/>
      <c r="W17" s="278"/>
      <c r="Y17" s="278"/>
    </row>
    <row r="18" spans="1:25" ht="24.95" customHeight="1">
      <c r="A18" s="271">
        <f t="shared" si="0"/>
        <v>56194266.24000001</v>
      </c>
      <c r="B18" s="271">
        <f t="shared" si="1"/>
        <v>52256809.382400006</v>
      </c>
      <c r="C18" s="302">
        <f>'11'!$G$11</f>
        <v>39820200</v>
      </c>
      <c r="D18" s="302">
        <f>'11'!$H$11</f>
        <v>37030052</v>
      </c>
      <c r="E18" s="306">
        <v>3049686370.340611</v>
      </c>
      <c r="F18" s="306" t="s">
        <v>66</v>
      </c>
      <c r="G18" s="306">
        <v>1458071180</v>
      </c>
      <c r="H18" s="307">
        <f t="shared" si="2"/>
        <v>104692462.87500001</v>
      </c>
      <c r="I18" s="306" t="s">
        <v>102</v>
      </c>
      <c r="J18" s="308">
        <f>'1'!G95</f>
        <v>66405000</v>
      </c>
      <c r="K18" s="302">
        <f t="shared" si="3"/>
        <v>53828886.182400011</v>
      </c>
      <c r="L18" s="299">
        <f t="shared" si="4"/>
        <v>1.4112000000000002</v>
      </c>
      <c r="M18" s="310">
        <f>'11'!$I$11</f>
        <v>38144052</v>
      </c>
      <c r="N18" s="302">
        <f t="shared" si="5"/>
        <v>57766343.040000007</v>
      </c>
      <c r="O18" s="299">
        <v>1.2</v>
      </c>
      <c r="P18" s="299">
        <v>1.05</v>
      </c>
      <c r="Q18" s="299">
        <v>1.1200000000000001</v>
      </c>
      <c r="R18" s="310">
        <f>'11'!$M$11</f>
        <v>40934200</v>
      </c>
      <c r="S18" s="313" t="s">
        <v>31</v>
      </c>
      <c r="T18" s="314" t="s">
        <v>19</v>
      </c>
      <c r="U18" s="438"/>
      <c r="W18" s="278"/>
      <c r="Y18" s="278"/>
    </row>
    <row r="19" spans="1:25" ht="24.95" customHeight="1">
      <c r="A19" s="271">
        <f t="shared" si="0"/>
        <v>135851514.79435202</v>
      </c>
      <c r="B19" s="271">
        <f t="shared" si="1"/>
        <v>715976432.90994251</v>
      </c>
      <c r="C19" s="302">
        <f>'12'!$G$25</f>
        <v>95685714</v>
      </c>
      <c r="D19" s="302">
        <f>'12'!$H$25</f>
        <v>504291146.80000001</v>
      </c>
      <c r="E19" s="306">
        <v>172461911.826204</v>
      </c>
      <c r="F19" s="306" t="s">
        <v>66</v>
      </c>
      <c r="G19" s="306">
        <v>82454952</v>
      </c>
      <c r="H19" s="307">
        <f t="shared" si="2"/>
        <v>2664918789.1326008</v>
      </c>
      <c r="I19" s="306" t="s">
        <v>102</v>
      </c>
      <c r="J19" s="308">
        <f>'1'!G119</f>
        <v>1690321608</v>
      </c>
      <c r="K19" s="302">
        <f t="shared" si="3"/>
        <v>1249052553.7273729</v>
      </c>
      <c r="L19" s="299">
        <f t="shared" si="4"/>
        <v>1.4197680000000001</v>
      </c>
      <c r="M19" s="310">
        <f>'12'!$I$25</f>
        <v>879758209.60000002</v>
      </c>
      <c r="N19" s="302">
        <f t="shared" si="5"/>
        <v>668927635.61178243</v>
      </c>
      <c r="O19" s="299">
        <v>1.2</v>
      </c>
      <c r="P19" s="299">
        <v>1.05</v>
      </c>
      <c r="Q19" s="299">
        <v>1.1268</v>
      </c>
      <c r="R19" s="310">
        <f>'12'!$M$25</f>
        <v>471152776.80000001</v>
      </c>
      <c r="S19" s="313" t="s">
        <v>32</v>
      </c>
      <c r="T19" s="314" t="s">
        <v>9</v>
      </c>
      <c r="U19" s="438"/>
      <c r="W19" s="278"/>
      <c r="Y19" s="278"/>
    </row>
    <row r="20" spans="1:25" ht="24.95" customHeight="1">
      <c r="A20" s="271">
        <f t="shared" si="0"/>
        <v>27817574.400000006</v>
      </c>
      <c r="B20" s="271">
        <f t="shared" si="1"/>
        <v>196952872.03200004</v>
      </c>
      <c r="C20" s="302">
        <f>'16'!$G$17</f>
        <v>19712000</v>
      </c>
      <c r="D20" s="302">
        <f>'16'!$H$17</f>
        <v>139564110</v>
      </c>
      <c r="E20" s="306">
        <v>178077930.03000003</v>
      </c>
      <c r="F20" s="306" t="s">
        <v>66</v>
      </c>
      <c r="G20" s="306">
        <v>85140000</v>
      </c>
      <c r="H20" s="307">
        <f t="shared" si="2"/>
        <v>9932422.5</v>
      </c>
      <c r="I20" s="306" t="s">
        <v>102</v>
      </c>
      <c r="J20" s="316">
        <f>'1'!G150</f>
        <v>6300000</v>
      </c>
      <c r="K20" s="302">
        <f t="shared" si="3"/>
        <v>216671569.63200003</v>
      </c>
      <c r="L20" s="299">
        <f t="shared" si="4"/>
        <v>1.4112000000000002</v>
      </c>
      <c r="M20" s="317">
        <f>'16'!$I$17</f>
        <v>153537110</v>
      </c>
      <c r="N20" s="302">
        <f t="shared" si="5"/>
        <v>47536272</v>
      </c>
      <c r="O20" s="299">
        <v>1.2</v>
      </c>
      <c r="P20" s="299">
        <v>1.05</v>
      </c>
      <c r="Q20" s="299">
        <v>1.1200000000000001</v>
      </c>
      <c r="R20" s="317">
        <f>'16'!$M$17</f>
        <v>33685000</v>
      </c>
      <c r="S20" s="311" t="s">
        <v>33</v>
      </c>
      <c r="T20" s="312" t="s">
        <v>20</v>
      </c>
      <c r="U20" s="438"/>
      <c r="W20" s="278"/>
      <c r="Y20" s="278"/>
    </row>
    <row r="21" spans="1:25" ht="24.95" customHeight="1" thickBot="1">
      <c r="A21" s="271">
        <f t="shared" si="0"/>
        <v>0</v>
      </c>
      <c r="B21" s="271">
        <f t="shared" si="1"/>
        <v>46840720.520160004</v>
      </c>
      <c r="C21" s="302"/>
      <c r="D21" s="302">
        <f>'20'!$H$12</f>
        <v>33192120.549999997</v>
      </c>
      <c r="E21" s="306">
        <v>41413472.100000001</v>
      </c>
      <c r="F21" s="306" t="s">
        <v>66</v>
      </c>
      <c r="G21" s="306">
        <v>19800000</v>
      </c>
      <c r="H21" s="307">
        <f t="shared" si="2"/>
        <v>75906718.012125015</v>
      </c>
      <c r="I21" s="306" t="s">
        <v>102</v>
      </c>
      <c r="J21" s="316">
        <f>'1'!G162</f>
        <v>48146595</v>
      </c>
      <c r="K21" s="302">
        <f t="shared" si="3"/>
        <v>75195119.563200012</v>
      </c>
      <c r="L21" s="299">
        <f t="shared" si="4"/>
        <v>1.4112000000000002</v>
      </c>
      <c r="M21" s="310">
        <f>'20'!$I$12</f>
        <v>53284523.5</v>
      </c>
      <c r="N21" s="302">
        <f t="shared" si="5"/>
        <v>28354399.043040004</v>
      </c>
      <c r="O21" s="299">
        <v>1.2</v>
      </c>
      <c r="P21" s="299">
        <v>1.05</v>
      </c>
      <c r="Q21" s="299">
        <v>1.1200000000000001</v>
      </c>
      <c r="R21" s="317">
        <f>'20'!$M$12</f>
        <v>20092402.949999999</v>
      </c>
      <c r="S21" s="311" t="s">
        <v>34</v>
      </c>
      <c r="T21" s="318" t="s">
        <v>12</v>
      </c>
      <c r="U21" s="439"/>
      <c r="W21" s="278"/>
      <c r="Y21" s="278"/>
    </row>
    <row r="22" spans="1:25" ht="45" customHeight="1" thickBot="1">
      <c r="A22" s="271">
        <f t="shared" si="0"/>
        <v>6852464.6400000006</v>
      </c>
      <c r="B22" s="271">
        <f t="shared" si="1"/>
        <v>87156123.011999995</v>
      </c>
      <c r="C22" s="302">
        <f>'25'!$G$16</f>
        <v>5120000</v>
      </c>
      <c r="D22" s="302">
        <f>'25'!H16</f>
        <v>65120999.999999993</v>
      </c>
      <c r="E22" s="319"/>
      <c r="F22" s="299"/>
      <c r="G22" s="299"/>
      <c r="H22" s="300"/>
      <c r="I22" s="299"/>
      <c r="J22" s="320"/>
      <c r="K22" s="302">
        <f t="shared" si="3"/>
        <v>159187304.05200002</v>
      </c>
      <c r="L22" s="299">
        <f t="shared" si="4"/>
        <v>1.3383720000000001</v>
      </c>
      <c r="M22" s="321">
        <f>'25'!$I$16</f>
        <v>118941000</v>
      </c>
      <c r="N22" s="302">
        <f t="shared" si="5"/>
        <v>78883645.680000007</v>
      </c>
      <c r="O22" s="299">
        <v>1.2</v>
      </c>
      <c r="P22" s="299">
        <v>1.05</v>
      </c>
      <c r="Q22" s="299">
        <v>1.0622</v>
      </c>
      <c r="R22" s="347">
        <f>'25'!$M$16</f>
        <v>58940000.000000007</v>
      </c>
      <c r="S22" s="348" t="s">
        <v>109</v>
      </c>
      <c r="T22" s="322" t="s">
        <v>367</v>
      </c>
      <c r="U22" s="279"/>
      <c r="W22" s="278"/>
      <c r="Y22" s="278"/>
    </row>
    <row r="23" spans="1:25" ht="24.95" customHeight="1" thickBot="1">
      <c r="A23" s="271">
        <f>SUM(A10:A22)</f>
        <v>1033472609.4698209</v>
      </c>
      <c r="B23" s="271">
        <f>SUM(B10:B22)</f>
        <v>2024956706.4215119</v>
      </c>
      <c r="C23" s="328">
        <f>SUM(C10:C22)</f>
        <v>732468799.19999993</v>
      </c>
      <c r="D23" s="328">
        <f>SUM(D10:D22)</f>
        <v>1433031191.25</v>
      </c>
      <c r="E23" s="324">
        <v>74077858108.845062</v>
      </c>
      <c r="F23" s="325"/>
      <c r="G23" s="325"/>
      <c r="H23" s="326" t="e">
        <f>SUM(H10:H21)</f>
        <v>#REF!</v>
      </c>
      <c r="I23" s="325"/>
      <c r="J23" s="327" t="e">
        <f>SUM(J10:J21)</f>
        <v>#REF!</v>
      </c>
      <c r="K23" s="328">
        <f>SUM(K10:K22)</f>
        <v>6047033772.6529036</v>
      </c>
      <c r="L23" s="325"/>
      <c r="M23" s="329">
        <f>SUM(M10:M22)</f>
        <v>4280358051.4000001</v>
      </c>
      <c r="N23" s="328">
        <f>SUM(N10:N22)</f>
        <v>5055549675.7012129</v>
      </c>
      <c r="O23" s="326"/>
      <c r="P23" s="326"/>
      <c r="Q23" s="325"/>
      <c r="R23" s="329">
        <f>SUM(R10:R22)</f>
        <v>3579795659.3499999</v>
      </c>
      <c r="S23" s="455" t="s">
        <v>21</v>
      </c>
      <c r="T23" s="456"/>
      <c r="U23" s="330"/>
      <c r="W23" s="278"/>
      <c r="Y23" s="278"/>
    </row>
    <row r="24" spans="1:25" ht="24.95" customHeight="1" thickBot="1">
      <c r="C24" s="323"/>
      <c r="D24" s="331"/>
      <c r="E24" s="332">
        <v>2754778097.5820003</v>
      </c>
      <c r="F24" s="306">
        <v>1.393</v>
      </c>
      <c r="G24" s="306">
        <v>1977586574</v>
      </c>
      <c r="H24" s="307">
        <f>K24</f>
        <v>201247200.00000003</v>
      </c>
      <c r="I24" s="333"/>
      <c r="J24" s="308">
        <f>M24</f>
        <v>182952000</v>
      </c>
      <c r="K24" s="334">
        <f>N24</f>
        <v>201247200.00000003</v>
      </c>
      <c r="L24" s="306"/>
      <c r="M24" s="309">
        <f>R24</f>
        <v>182952000</v>
      </c>
      <c r="N24" s="334">
        <f>Q24*R24</f>
        <v>201247200.00000003</v>
      </c>
      <c r="O24" s="307"/>
      <c r="P24" s="307"/>
      <c r="Q24" s="306">
        <v>1.1000000000000001</v>
      </c>
      <c r="R24" s="309">
        <v>182952000</v>
      </c>
      <c r="S24" s="450" t="s">
        <v>22</v>
      </c>
      <c r="T24" s="451"/>
      <c r="U24" s="330"/>
      <c r="W24" s="278"/>
      <c r="Y24" s="278"/>
    </row>
    <row r="25" spans="1:25" ht="24.95" customHeight="1" thickBot="1">
      <c r="A25" s="271">
        <f>B23-A23</f>
        <v>991484096.95169103</v>
      </c>
      <c r="C25" s="323"/>
      <c r="D25" s="281"/>
      <c r="E25" s="441">
        <f>E23+E24</f>
        <v>76832636206.427063</v>
      </c>
      <c r="F25" s="442"/>
      <c r="G25" s="282"/>
      <c r="H25" s="441" t="e">
        <f>H23+H24</f>
        <v>#REF!</v>
      </c>
      <c r="I25" s="442"/>
      <c r="J25" s="283"/>
      <c r="K25" s="441">
        <f>SUM(K23:K24)</f>
        <v>6248280972.6529036</v>
      </c>
      <c r="L25" s="442"/>
      <c r="M25" s="283"/>
      <c r="N25" s="440">
        <f>SUM(N23:N24)</f>
        <v>5256796875.7012129</v>
      </c>
      <c r="O25" s="441"/>
      <c r="P25" s="441"/>
      <c r="Q25" s="442"/>
      <c r="R25" s="448" t="s">
        <v>23</v>
      </c>
      <c r="S25" s="448"/>
      <c r="T25" s="449"/>
      <c r="U25" s="277"/>
    </row>
    <row r="26" spans="1:25" ht="20.25" customHeight="1">
      <c r="D26" s="273"/>
      <c r="E26" s="284"/>
      <c r="F26" s="284"/>
      <c r="G26" s="273"/>
      <c r="H26" s="284"/>
      <c r="I26" s="284"/>
      <c r="J26" s="280"/>
      <c r="K26" s="284"/>
      <c r="L26" s="285"/>
      <c r="M26" s="280"/>
      <c r="N26" s="284"/>
      <c r="O26" s="284"/>
      <c r="P26" s="284"/>
      <c r="Q26" s="285"/>
      <c r="R26" s="280"/>
      <c r="S26" s="280"/>
      <c r="T26" s="280"/>
      <c r="U26" s="273"/>
    </row>
    <row r="27" spans="1:25" ht="15.75" customHeight="1">
      <c r="D27" s="284"/>
      <c r="E27" s="284"/>
      <c r="F27" s="284"/>
      <c r="G27" s="273"/>
      <c r="H27" s="284"/>
      <c r="I27" s="284"/>
      <c r="J27" s="280"/>
      <c r="K27" s="284"/>
      <c r="L27" s="285"/>
      <c r="M27" s="280"/>
      <c r="N27" s="284"/>
      <c r="O27" s="284"/>
      <c r="P27" s="284"/>
      <c r="Q27" s="285"/>
      <c r="R27" s="280"/>
      <c r="S27" s="280"/>
      <c r="T27" s="280"/>
      <c r="U27" s="273"/>
    </row>
    <row r="28" spans="1:25" ht="19.5" customHeight="1">
      <c r="D28" s="379"/>
      <c r="E28" s="284"/>
      <c r="F28" s="284"/>
      <c r="G28" s="273"/>
      <c r="H28" s="284"/>
      <c r="I28" s="284"/>
      <c r="J28" s="280"/>
      <c r="K28" s="284"/>
      <c r="L28" s="285"/>
      <c r="M28" s="280"/>
      <c r="N28" s="284"/>
      <c r="O28" s="284"/>
      <c r="P28" s="284"/>
      <c r="Q28" s="285"/>
      <c r="R28" s="280"/>
      <c r="S28" s="280"/>
      <c r="T28" s="280"/>
      <c r="U28" s="273"/>
    </row>
    <row r="29" spans="1:25" ht="19.5" customHeight="1">
      <c r="C29" s="380"/>
      <c r="K29" s="284"/>
      <c r="N29" s="284"/>
      <c r="O29" s="286"/>
      <c r="P29" s="286"/>
    </row>
    <row r="30" spans="1:25">
      <c r="C30" s="380"/>
      <c r="D30" s="287"/>
      <c r="K30" s="286"/>
      <c r="L30" s="287"/>
      <c r="N30" s="287"/>
      <c r="O30" s="287"/>
      <c r="P30" s="287"/>
    </row>
    <row r="31" spans="1:25">
      <c r="C31" s="380"/>
      <c r="D31" s="287"/>
      <c r="K31" s="447"/>
      <c r="L31" s="447"/>
      <c r="N31" s="286"/>
      <c r="O31" s="286"/>
      <c r="P31" s="286"/>
      <c r="Q31" s="286"/>
      <c r="R31" s="286"/>
      <c r="S31" s="287"/>
    </row>
    <row r="32" spans="1:25">
      <c r="C32" s="380"/>
      <c r="D32" s="287"/>
      <c r="K32" s="447"/>
      <c r="L32" s="447"/>
      <c r="N32" s="287"/>
      <c r="O32" s="287"/>
      <c r="P32" s="287"/>
      <c r="S32" s="287"/>
    </row>
    <row r="33" spans="3:23">
      <c r="C33" s="380"/>
      <c r="K33" s="443"/>
      <c r="N33" s="287"/>
      <c r="O33" s="287"/>
      <c r="P33" s="287"/>
      <c r="S33" s="286"/>
    </row>
    <row r="34" spans="3:23">
      <c r="C34" s="380"/>
      <c r="K34" s="443"/>
      <c r="M34" s="288"/>
      <c r="N34" s="287"/>
      <c r="O34" s="287"/>
      <c r="P34" s="287"/>
      <c r="S34" s="273"/>
      <c r="T34" s="273"/>
      <c r="U34" s="273"/>
      <c r="V34" s="273"/>
      <c r="W34" s="273"/>
    </row>
    <row r="35" spans="3:23">
      <c r="C35" s="380"/>
      <c r="N35" s="287"/>
      <c r="O35" s="287"/>
      <c r="P35" s="287"/>
      <c r="S35" s="289"/>
      <c r="T35" s="280"/>
      <c r="U35" s="273"/>
      <c r="V35" s="273"/>
      <c r="W35" s="273"/>
    </row>
    <row r="36" spans="3:23" ht="20.25" customHeight="1">
      <c r="C36" s="380"/>
      <c r="D36" s="287"/>
      <c r="K36" s="437"/>
      <c r="L36" s="437"/>
      <c r="M36" s="286"/>
      <c r="N36" s="287"/>
      <c r="O36" s="287"/>
      <c r="P36" s="287"/>
      <c r="S36" s="273"/>
      <c r="T36" s="273"/>
      <c r="U36" s="273"/>
      <c r="V36" s="273"/>
      <c r="W36" s="273"/>
    </row>
    <row r="37" spans="3:23">
      <c r="C37" s="380"/>
      <c r="N37" s="287"/>
      <c r="O37" s="287"/>
      <c r="P37" s="287"/>
      <c r="S37" s="289"/>
      <c r="T37" s="280"/>
      <c r="U37" s="273"/>
      <c r="V37" s="273"/>
      <c r="W37" s="273"/>
    </row>
    <row r="38" spans="3:23">
      <c r="C38" s="380"/>
      <c r="N38" s="287"/>
      <c r="O38" s="287"/>
      <c r="P38" s="287"/>
      <c r="S38" s="273"/>
      <c r="T38" s="273"/>
      <c r="U38" s="273"/>
      <c r="V38" s="273"/>
      <c r="W38" s="273"/>
    </row>
    <row r="39" spans="3:23">
      <c r="C39" s="380"/>
      <c r="N39" s="287"/>
      <c r="O39" s="287"/>
      <c r="P39" s="287"/>
      <c r="S39" s="289"/>
      <c r="T39" s="290"/>
      <c r="U39" s="273"/>
      <c r="V39" s="273"/>
      <c r="W39" s="273"/>
    </row>
    <row r="40" spans="3:23">
      <c r="C40" s="380"/>
      <c r="S40" s="289"/>
      <c r="T40" s="290"/>
      <c r="U40" s="273"/>
      <c r="V40" s="273"/>
      <c r="W40" s="273"/>
    </row>
    <row r="41" spans="3:23">
      <c r="C41" s="380"/>
      <c r="S41" s="273"/>
      <c r="T41" s="273"/>
      <c r="U41" s="273"/>
      <c r="V41" s="273"/>
      <c r="W41" s="273"/>
    </row>
    <row r="42" spans="3:23">
      <c r="C42" s="380"/>
      <c r="S42" s="273"/>
      <c r="T42" s="273"/>
      <c r="U42" s="273"/>
      <c r="V42" s="273"/>
      <c r="W42" s="273"/>
    </row>
    <row r="43" spans="3:23">
      <c r="C43" s="380"/>
      <c r="K43" s="286"/>
      <c r="S43" s="273"/>
      <c r="T43" s="273"/>
      <c r="U43" s="273"/>
      <c r="V43" s="273"/>
      <c r="W43" s="273"/>
    </row>
  </sheetData>
  <mergeCells count="25">
    <mergeCell ref="N6:Q6"/>
    <mergeCell ref="N5:Q5"/>
    <mergeCell ref="N4:Q4"/>
    <mergeCell ref="E25:F25"/>
    <mergeCell ref="R25:T25"/>
    <mergeCell ref="S24:T24"/>
    <mergeCell ref="C8:D8"/>
    <mergeCell ref="N2:Q2"/>
    <mergeCell ref="D7:T7"/>
    <mergeCell ref="S23:T23"/>
    <mergeCell ref="T8:T9"/>
    <mergeCell ref="S8:S9"/>
    <mergeCell ref="E8:G8"/>
    <mergeCell ref="N8:R8"/>
    <mergeCell ref="H8:J8"/>
    <mergeCell ref="H25:I25"/>
    <mergeCell ref="K25:L25"/>
    <mergeCell ref="N3:Q3"/>
    <mergeCell ref="K36:L36"/>
    <mergeCell ref="U10:U21"/>
    <mergeCell ref="N25:Q25"/>
    <mergeCell ref="K33:K34"/>
    <mergeCell ref="K8:M8"/>
    <mergeCell ref="K31:L32"/>
    <mergeCell ref="N1:Q1"/>
  </mergeCells>
  <phoneticPr fontId="1" type="noConversion"/>
  <printOptions horizontalCentered="1" verticalCentered="1"/>
  <pageMargins left="0" right="0" top="0" bottom="0.19685039370078741" header="0" footer="3.937007874015748E-2"/>
  <pageSetup paperSize="9" scale="70" orientation="landscape" horizont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topLeftCell="F1" zoomScaleNormal="90" zoomScaleSheetLayoutView="100" workbookViewId="0">
      <selection activeCell="I5" sqref="I5"/>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1.7109375" style="16" customWidth="1"/>
    <col min="7" max="7" width="14.85546875" style="95" customWidth="1"/>
    <col min="8" max="8" width="12.85546875" style="16" customWidth="1"/>
    <col min="9" max="9" width="13.140625" style="33" customWidth="1"/>
    <col min="10" max="10" width="10"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9" t="s">
        <v>142</v>
      </c>
      <c r="K4" s="357" t="s">
        <v>4</v>
      </c>
      <c r="L4" s="357" t="s">
        <v>3</v>
      </c>
      <c r="M4" s="100" t="s">
        <v>141</v>
      </c>
      <c r="N4" s="357" t="s">
        <v>140</v>
      </c>
      <c r="O4" s="429"/>
      <c r="P4" s="388"/>
      <c r="Q4" s="388"/>
      <c r="R4" s="2"/>
      <c r="S4" s="421"/>
    </row>
    <row r="5" spans="2:19" ht="23.25" customHeight="1" thickBot="1">
      <c r="D5" s="85"/>
      <c r="F5" s="176"/>
      <c r="G5" s="145"/>
      <c r="H5" s="136"/>
      <c r="I5" s="146"/>
      <c r="J5" s="146"/>
      <c r="K5" s="136"/>
      <c r="L5" s="136"/>
      <c r="M5" s="145" t="s">
        <v>381</v>
      </c>
      <c r="N5" s="136"/>
      <c r="O5" s="136"/>
      <c r="P5" s="136"/>
      <c r="Q5" s="86" t="s">
        <v>406</v>
      </c>
      <c r="R5" s="42"/>
      <c r="S5" s="220"/>
    </row>
    <row r="6" spans="2:19" ht="31.5" customHeight="1">
      <c r="B6" s="259" t="s">
        <v>264</v>
      </c>
      <c r="C6" s="3" t="s">
        <v>279</v>
      </c>
      <c r="D6" s="35">
        <v>521.12</v>
      </c>
      <c r="F6" s="35"/>
      <c r="G6" s="191">
        <f t="shared" ref="G6" si="0">(N6-J6)*O6</f>
        <v>2197500</v>
      </c>
      <c r="H6" s="191"/>
      <c r="I6" s="191">
        <f t="shared" ref="I6" si="1">J6*O6</f>
        <v>0</v>
      </c>
      <c r="J6" s="49">
        <v>0</v>
      </c>
      <c r="K6" s="6"/>
      <c r="L6" s="28"/>
      <c r="M6" s="191">
        <f>N6*O6</f>
        <v>2197500</v>
      </c>
      <c r="N6" s="6">
        <v>15</v>
      </c>
      <c r="O6" s="359">
        <v>146500</v>
      </c>
      <c r="P6" s="6" t="s">
        <v>35</v>
      </c>
      <c r="Q6" s="6" t="s">
        <v>387</v>
      </c>
      <c r="R6" s="63" t="s">
        <v>158</v>
      </c>
      <c r="S6" s="358" t="s">
        <v>384</v>
      </c>
    </row>
    <row r="7" spans="2:19" ht="31.5" customHeight="1">
      <c r="B7" s="259">
        <v>500</v>
      </c>
      <c r="D7" s="35"/>
      <c r="F7" s="35"/>
      <c r="G7" s="191"/>
      <c r="H7" s="191">
        <f>(J7-N7)*O7</f>
        <v>746700</v>
      </c>
      <c r="I7" s="191">
        <f>J7*O7</f>
        <v>2798700</v>
      </c>
      <c r="J7" s="49">
        <v>19.64</v>
      </c>
      <c r="K7" s="6"/>
      <c r="L7" s="28"/>
      <c r="M7" s="191">
        <f t="shared" ref="M7:M16" si="2">N7*O7</f>
        <v>2052000</v>
      </c>
      <c r="N7" s="6">
        <v>14.4</v>
      </c>
      <c r="O7" s="359">
        <v>142500</v>
      </c>
      <c r="P7" s="6" t="s">
        <v>35</v>
      </c>
      <c r="Q7" s="6" t="s">
        <v>388</v>
      </c>
      <c r="R7" s="63" t="s">
        <v>158</v>
      </c>
      <c r="S7" s="358" t="s">
        <v>385</v>
      </c>
    </row>
    <row r="8" spans="2:19" ht="31.5" customHeight="1">
      <c r="B8" s="259">
        <v>300</v>
      </c>
      <c r="D8" s="20"/>
      <c r="F8" s="20"/>
      <c r="G8" s="191">
        <f>(N8-J8)*O8</f>
        <v>5025600</v>
      </c>
      <c r="H8" s="191"/>
      <c r="I8" s="191">
        <f>J8*O8</f>
        <v>0</v>
      </c>
      <c r="J8" s="49">
        <v>0</v>
      </c>
      <c r="K8" s="6"/>
      <c r="L8" s="28"/>
      <c r="M8" s="191">
        <f t="shared" si="2"/>
        <v>5025600</v>
      </c>
      <c r="N8" s="6">
        <v>14.4</v>
      </c>
      <c r="O8" s="359">
        <v>349000</v>
      </c>
      <c r="P8" s="6" t="s">
        <v>390</v>
      </c>
      <c r="Q8" s="6" t="s">
        <v>389</v>
      </c>
      <c r="R8" s="63" t="s">
        <v>158</v>
      </c>
      <c r="S8" s="358" t="s">
        <v>386</v>
      </c>
    </row>
    <row r="9" spans="2:19" ht="31.5" customHeight="1">
      <c r="D9" s="35"/>
      <c r="F9" s="35"/>
      <c r="G9" s="191">
        <f t="shared" ref="G9:G14" si="3">(N9-J9)*O9</f>
        <v>690200</v>
      </c>
      <c r="H9" s="191"/>
      <c r="I9" s="191">
        <f t="shared" ref="I9:I14" si="4">J9*O9</f>
        <v>0</v>
      </c>
      <c r="J9" s="49">
        <v>0</v>
      </c>
      <c r="K9" s="6"/>
      <c r="L9" s="28"/>
      <c r="M9" s="191">
        <f t="shared" si="2"/>
        <v>690200</v>
      </c>
      <c r="N9" s="6">
        <v>14</v>
      </c>
      <c r="O9" s="359">
        <v>49300</v>
      </c>
      <c r="P9" s="6" t="s">
        <v>390</v>
      </c>
      <c r="Q9" s="6" t="s">
        <v>392</v>
      </c>
      <c r="R9" s="63" t="s">
        <v>158</v>
      </c>
      <c r="S9" s="358" t="s">
        <v>391</v>
      </c>
    </row>
    <row r="10" spans="2:19" ht="31.5" customHeight="1">
      <c r="D10" s="35"/>
      <c r="F10" s="35"/>
      <c r="G10" s="191">
        <f t="shared" si="3"/>
        <v>3374000</v>
      </c>
      <c r="H10" s="191"/>
      <c r="I10" s="191">
        <f t="shared" si="4"/>
        <v>0</v>
      </c>
      <c r="J10" s="49">
        <v>0</v>
      </c>
      <c r="K10" s="6"/>
      <c r="L10" s="28"/>
      <c r="M10" s="191">
        <f t="shared" si="2"/>
        <v>3374000</v>
      </c>
      <c r="N10" s="6">
        <v>28</v>
      </c>
      <c r="O10" s="359">
        <v>120500</v>
      </c>
      <c r="P10" s="6" t="s">
        <v>390</v>
      </c>
      <c r="Q10" s="6" t="s">
        <v>394</v>
      </c>
      <c r="R10" s="63" t="s">
        <v>158</v>
      </c>
      <c r="S10" s="358" t="s">
        <v>393</v>
      </c>
    </row>
    <row r="11" spans="2:19" ht="31.5" customHeight="1">
      <c r="D11" s="35"/>
      <c r="F11" s="35"/>
      <c r="G11" s="191">
        <f t="shared" si="3"/>
        <v>15662500</v>
      </c>
      <c r="H11" s="191"/>
      <c r="I11" s="191">
        <f t="shared" si="4"/>
        <v>0</v>
      </c>
      <c r="J11" s="49">
        <v>0</v>
      </c>
      <c r="K11" s="6"/>
      <c r="L11" s="28"/>
      <c r="M11" s="191">
        <f t="shared" si="2"/>
        <v>15662500</v>
      </c>
      <c r="N11" s="6">
        <v>25</v>
      </c>
      <c r="O11" s="359">
        <v>626500</v>
      </c>
      <c r="P11" s="6" t="s">
        <v>390</v>
      </c>
      <c r="Q11" s="6" t="s">
        <v>396</v>
      </c>
      <c r="R11" s="63" t="s">
        <v>158</v>
      </c>
      <c r="S11" s="358" t="s">
        <v>395</v>
      </c>
    </row>
    <row r="12" spans="2:19" ht="31.5" customHeight="1">
      <c r="D12" s="35"/>
      <c r="F12" s="35"/>
      <c r="G12" s="191">
        <f t="shared" si="3"/>
        <v>1638112.0000000002</v>
      </c>
      <c r="H12" s="191"/>
      <c r="I12" s="191">
        <f t="shared" si="4"/>
        <v>669087.99999999988</v>
      </c>
      <c r="J12" s="49">
        <v>8.1199999999999992</v>
      </c>
      <c r="K12" s="6"/>
      <c r="L12" s="28"/>
      <c r="M12" s="191">
        <f t="shared" si="2"/>
        <v>2307200</v>
      </c>
      <c r="N12" s="6">
        <v>28</v>
      </c>
      <c r="O12" s="359">
        <v>82400</v>
      </c>
      <c r="P12" s="6" t="s">
        <v>390</v>
      </c>
      <c r="Q12" s="6" t="s">
        <v>398</v>
      </c>
      <c r="R12" s="63" t="s">
        <v>158</v>
      </c>
      <c r="S12" s="358" t="s">
        <v>397</v>
      </c>
    </row>
    <row r="13" spans="2:19" ht="31.5" customHeight="1">
      <c r="D13" s="35"/>
      <c r="F13" s="35"/>
      <c r="G13" s="191">
        <f t="shared" si="3"/>
        <v>1604400</v>
      </c>
      <c r="H13" s="191"/>
      <c r="I13" s="191">
        <f t="shared" si="4"/>
        <v>0</v>
      </c>
      <c r="J13" s="49">
        <v>0</v>
      </c>
      <c r="K13" s="6"/>
      <c r="L13" s="28"/>
      <c r="M13" s="191">
        <f t="shared" si="2"/>
        <v>1604400</v>
      </c>
      <c r="N13" s="6">
        <v>28</v>
      </c>
      <c r="O13" s="359">
        <v>57300</v>
      </c>
      <c r="P13" s="6" t="s">
        <v>390</v>
      </c>
      <c r="Q13" s="6" t="s">
        <v>400</v>
      </c>
      <c r="R13" s="63" t="s">
        <v>158</v>
      </c>
      <c r="S13" s="358" t="s">
        <v>399</v>
      </c>
    </row>
    <row r="14" spans="2:19" ht="31.5" customHeight="1">
      <c r="D14" s="35"/>
      <c r="F14" s="35"/>
      <c r="G14" s="191">
        <f t="shared" si="3"/>
        <v>113520</v>
      </c>
      <c r="H14" s="191"/>
      <c r="I14" s="191">
        <f t="shared" si="4"/>
        <v>0</v>
      </c>
      <c r="J14" s="49">
        <v>0</v>
      </c>
      <c r="K14" s="6"/>
      <c r="L14" s="28"/>
      <c r="M14" s="191">
        <f t="shared" si="2"/>
        <v>113520</v>
      </c>
      <c r="N14" s="6">
        <v>24</v>
      </c>
      <c r="O14" s="359">
        <v>4730</v>
      </c>
      <c r="P14" s="6" t="s">
        <v>82</v>
      </c>
      <c r="Q14" s="6" t="s">
        <v>402</v>
      </c>
      <c r="R14" s="63" t="s">
        <v>158</v>
      </c>
      <c r="S14" s="358" t="s">
        <v>401</v>
      </c>
    </row>
    <row r="15" spans="2:19" ht="31.5" customHeight="1">
      <c r="D15" s="35"/>
      <c r="F15" s="35"/>
      <c r="G15" s="191">
        <f t="shared" ref="G15:G16" si="5">(N15-J15)*O15</f>
        <v>1281000</v>
      </c>
      <c r="H15" s="191"/>
      <c r="I15" s="191">
        <f t="shared" ref="I15:I16" si="6">J15*O15</f>
        <v>0</v>
      </c>
      <c r="J15" s="49">
        <v>0</v>
      </c>
      <c r="K15" s="6"/>
      <c r="L15" s="28"/>
      <c r="M15" s="191">
        <f t="shared" si="2"/>
        <v>1281000</v>
      </c>
      <c r="N15" s="6">
        <v>35</v>
      </c>
      <c r="O15" s="359">
        <v>36600</v>
      </c>
      <c r="P15" s="6" t="s">
        <v>390</v>
      </c>
      <c r="Q15" s="6" t="s">
        <v>404</v>
      </c>
      <c r="R15" s="63" t="s">
        <v>158</v>
      </c>
      <c r="S15" s="358" t="s">
        <v>403</v>
      </c>
    </row>
    <row r="16" spans="2:19" ht="31.5" customHeight="1">
      <c r="D16" s="35"/>
      <c r="F16" s="35"/>
      <c r="G16" s="191">
        <f t="shared" si="5"/>
        <v>2509500</v>
      </c>
      <c r="H16" s="191"/>
      <c r="I16" s="191">
        <f t="shared" si="6"/>
        <v>0</v>
      </c>
      <c r="J16" s="49">
        <v>0</v>
      </c>
      <c r="K16" s="6"/>
      <c r="L16" s="28"/>
      <c r="M16" s="191">
        <f t="shared" si="2"/>
        <v>2509500</v>
      </c>
      <c r="N16" s="6">
        <v>35</v>
      </c>
      <c r="O16" s="359">
        <v>71700</v>
      </c>
      <c r="P16" s="6" t="s">
        <v>390</v>
      </c>
      <c r="Q16" s="6" t="s">
        <v>405</v>
      </c>
      <c r="R16" s="63" t="s">
        <v>158</v>
      </c>
      <c r="S16" s="358" t="s">
        <v>496</v>
      </c>
    </row>
    <row r="17" spans="2:20" ht="49.5" customHeight="1" thickBot="1">
      <c r="D17" s="116"/>
      <c r="F17" s="116"/>
      <c r="G17" s="337">
        <f>SUM(G6:G16)</f>
        <v>34096332</v>
      </c>
      <c r="H17" s="336">
        <f>SUM(H6:H16)</f>
        <v>746700</v>
      </c>
      <c r="I17" s="402">
        <f>SUM(I6:I16)</f>
        <v>3467788</v>
      </c>
      <c r="J17" s="402"/>
      <c r="K17" s="400">
        <f>SUM(K6:K14)</f>
        <v>0</v>
      </c>
      <c r="L17" s="400"/>
      <c r="M17" s="400">
        <f>SUM(M6:M16)</f>
        <v>36817420</v>
      </c>
      <c r="N17" s="400"/>
      <c r="O17" s="39"/>
      <c r="P17" s="115"/>
      <c r="Q17" s="115" t="s">
        <v>316</v>
      </c>
      <c r="R17" s="8" t="s">
        <v>158</v>
      </c>
      <c r="S17" s="206"/>
    </row>
    <row r="18" spans="2:20" ht="49.5" customHeight="1" thickBot="1">
      <c r="D18" s="13"/>
      <c r="F18" s="13"/>
      <c r="G18" s="99"/>
      <c r="H18" s="37"/>
      <c r="I18" s="435"/>
      <c r="J18" s="435"/>
      <c r="K18" s="37"/>
      <c r="L18" s="37"/>
      <c r="M18" s="99"/>
      <c r="N18" s="37"/>
      <c r="O18" s="24"/>
      <c r="P18" s="9"/>
      <c r="Q18" s="9"/>
      <c r="R18" s="9"/>
      <c r="S18" s="208"/>
    </row>
    <row r="19" spans="2:20" ht="23.25" hidden="1" customHeight="1">
      <c r="D19" s="77"/>
      <c r="F19" s="173"/>
      <c r="G19" s="382" t="s">
        <v>300</v>
      </c>
      <c r="H19" s="382"/>
      <c r="I19" s="382" t="s">
        <v>145</v>
      </c>
      <c r="J19" s="382"/>
      <c r="K19" s="78"/>
      <c r="L19" s="78"/>
      <c r="M19" s="199"/>
      <c r="N19" s="78"/>
      <c r="O19" s="79"/>
      <c r="P19" s="78"/>
      <c r="Q19" s="80" t="s">
        <v>171</v>
      </c>
      <c r="R19" s="41"/>
      <c r="S19" s="219"/>
    </row>
    <row r="20" spans="2:20" ht="23.25" hidden="1" customHeight="1">
      <c r="D20" s="81"/>
      <c r="F20" s="174"/>
      <c r="G20" s="96"/>
      <c r="H20" s="82"/>
      <c r="I20" s="83"/>
      <c r="J20" s="143" t="s">
        <v>146</v>
      </c>
      <c r="K20" s="144"/>
      <c r="L20" s="144"/>
      <c r="M20" s="200"/>
      <c r="N20" s="144"/>
      <c r="O20" s="135"/>
      <c r="P20" s="144"/>
      <c r="Q20" s="84" t="s">
        <v>292</v>
      </c>
      <c r="R20" s="56"/>
      <c r="S20" s="175"/>
    </row>
    <row r="21" spans="2:20" ht="23.25" hidden="1" customHeight="1" thickBot="1">
      <c r="D21" s="85"/>
      <c r="F21" s="85"/>
      <c r="G21" s="145"/>
      <c r="H21" s="136"/>
      <c r="I21" s="146"/>
      <c r="J21" s="146"/>
      <c r="K21" s="136"/>
      <c r="L21" s="136"/>
      <c r="M21" s="145" t="s">
        <v>183</v>
      </c>
      <c r="N21" s="136"/>
      <c r="O21" s="136"/>
      <c r="P21" s="136"/>
      <c r="Q21" s="86" t="s">
        <v>184</v>
      </c>
      <c r="R21" s="42"/>
      <c r="S21" s="205"/>
    </row>
    <row r="22" spans="2:20" ht="25.5" hidden="1" customHeight="1">
      <c r="D22" s="385" t="s">
        <v>144</v>
      </c>
      <c r="F22" s="385" t="s">
        <v>144</v>
      </c>
      <c r="G22" s="406" t="s">
        <v>63</v>
      </c>
      <c r="H22" s="406"/>
      <c r="I22" s="409" t="s">
        <v>170</v>
      </c>
      <c r="J22" s="409"/>
      <c r="K22" s="401" t="s">
        <v>2</v>
      </c>
      <c r="L22" s="401"/>
      <c r="M22" s="401" t="s">
        <v>220</v>
      </c>
      <c r="N22" s="401"/>
      <c r="O22" s="426" t="s">
        <v>139</v>
      </c>
      <c r="P22" s="401" t="s">
        <v>1</v>
      </c>
      <c r="Q22" s="401" t="s">
        <v>138</v>
      </c>
      <c r="R22" s="352"/>
      <c r="S22" s="424" t="s">
        <v>0</v>
      </c>
    </row>
    <row r="23" spans="2:20" ht="25.5" hidden="1" customHeight="1">
      <c r="D23" s="386"/>
      <c r="F23" s="386"/>
      <c r="G23" s="97" t="s">
        <v>143</v>
      </c>
      <c r="H23" s="49" t="s">
        <v>142</v>
      </c>
      <c r="I23" s="49" t="s">
        <v>143</v>
      </c>
      <c r="J23" s="49" t="s">
        <v>142</v>
      </c>
      <c r="K23" s="357" t="s">
        <v>4</v>
      </c>
      <c r="L23" s="357" t="s">
        <v>3</v>
      </c>
      <c r="M23" s="100" t="s">
        <v>141</v>
      </c>
      <c r="N23" s="357" t="s">
        <v>140</v>
      </c>
      <c r="O23" s="427"/>
      <c r="P23" s="422"/>
      <c r="Q23" s="422"/>
      <c r="R23" s="2"/>
      <c r="S23" s="425"/>
    </row>
    <row r="24" spans="2:20" ht="30.75" hidden="1" customHeight="1">
      <c r="D24" s="111">
        <v>10848.34</v>
      </c>
      <c r="E24" s="109"/>
      <c r="F24" s="111"/>
      <c r="G24" s="100">
        <f t="shared" ref="G24:G39" si="7">H24*O24</f>
        <v>29289600</v>
      </c>
      <c r="H24" s="357">
        <v>10848</v>
      </c>
      <c r="I24" s="40">
        <f>J24*O24</f>
        <v>-9036900</v>
      </c>
      <c r="J24" s="49">
        <f>H24-N24</f>
        <v>-3347</v>
      </c>
      <c r="K24" s="6"/>
      <c r="L24" s="4"/>
      <c r="M24" s="191">
        <f t="shared" ref="M24:M39" si="8">N24*O24</f>
        <v>38326500</v>
      </c>
      <c r="N24" s="4">
        <v>14195</v>
      </c>
      <c r="O24" s="359">
        <v>2700</v>
      </c>
      <c r="P24" s="6" t="s">
        <v>35</v>
      </c>
      <c r="Q24" s="45" t="s">
        <v>152</v>
      </c>
      <c r="R24" s="63" t="s">
        <v>158</v>
      </c>
      <c r="S24" s="38" t="s">
        <v>71</v>
      </c>
      <c r="T24" s="30"/>
    </row>
    <row r="25" spans="2:20" ht="30.75" hidden="1" customHeight="1">
      <c r="D25" s="110">
        <v>1205.3599999999999</v>
      </c>
      <c r="E25" s="109"/>
      <c r="F25" s="110"/>
      <c r="G25" s="100">
        <f t="shared" si="7"/>
        <v>18195500</v>
      </c>
      <c r="H25" s="357">
        <v>1205</v>
      </c>
      <c r="I25" s="40">
        <f t="shared" ref="I25:I39" si="9">J25*O25</f>
        <v>18195500</v>
      </c>
      <c r="J25" s="49">
        <f t="shared" ref="J25:J38" si="10">H25-N25</f>
        <v>1205</v>
      </c>
      <c r="K25" s="6"/>
      <c r="L25" s="4"/>
      <c r="M25" s="191">
        <f t="shared" si="8"/>
        <v>0</v>
      </c>
      <c r="N25" s="4"/>
      <c r="O25" s="359">
        <v>15100</v>
      </c>
      <c r="P25" s="6" t="s">
        <v>35</v>
      </c>
      <c r="Q25" s="45" t="s">
        <v>73</v>
      </c>
      <c r="R25" s="63" t="s">
        <v>158</v>
      </c>
      <c r="S25" s="38" t="s">
        <v>72</v>
      </c>
      <c r="T25" s="30"/>
    </row>
    <row r="26" spans="2:20" ht="30.75" hidden="1" customHeight="1">
      <c r="B26" s="259">
        <v>1500</v>
      </c>
      <c r="D26" s="110">
        <v>1250</v>
      </c>
      <c r="E26" s="109"/>
      <c r="F26" s="110"/>
      <c r="G26" s="100">
        <f t="shared" si="7"/>
        <v>42900000</v>
      </c>
      <c r="H26" s="357">
        <f>1250+1500</f>
        <v>2750</v>
      </c>
      <c r="I26" s="40">
        <f t="shared" si="9"/>
        <v>42900000</v>
      </c>
      <c r="J26" s="49">
        <f t="shared" si="10"/>
        <v>2750</v>
      </c>
      <c r="K26" s="6"/>
      <c r="L26" s="4"/>
      <c r="M26" s="191">
        <f t="shared" si="8"/>
        <v>0</v>
      </c>
      <c r="N26" s="4"/>
      <c r="O26" s="359">
        <v>15600</v>
      </c>
      <c r="P26" s="6" t="s">
        <v>35</v>
      </c>
      <c r="Q26" s="45" t="s">
        <v>246</v>
      </c>
      <c r="R26" s="63" t="s">
        <v>158</v>
      </c>
      <c r="S26" s="38" t="s">
        <v>245</v>
      </c>
      <c r="T26" s="30"/>
    </row>
    <row r="27" spans="2:20" ht="30.75" hidden="1" customHeight="1">
      <c r="B27" s="259" t="s">
        <v>265</v>
      </c>
      <c r="C27" s="3" t="s">
        <v>281</v>
      </c>
      <c r="D27" s="110">
        <v>942</v>
      </c>
      <c r="E27" s="109"/>
      <c r="F27" s="110"/>
      <c r="G27" s="100">
        <f t="shared" si="7"/>
        <v>10413420</v>
      </c>
      <c r="H27" s="357">
        <f>942+1000*0.4+420</f>
        <v>1762</v>
      </c>
      <c r="I27" s="40">
        <f t="shared" si="9"/>
        <v>2139420</v>
      </c>
      <c r="J27" s="49">
        <f t="shared" si="10"/>
        <v>362</v>
      </c>
      <c r="K27" s="6"/>
      <c r="L27" s="4"/>
      <c r="M27" s="191">
        <f t="shared" si="8"/>
        <v>8274000</v>
      </c>
      <c r="N27" s="4">
        <v>1400</v>
      </c>
      <c r="O27" s="359">
        <v>5910</v>
      </c>
      <c r="P27" s="6" t="s">
        <v>35</v>
      </c>
      <c r="Q27" s="45" t="s">
        <v>75</v>
      </c>
      <c r="R27" s="63" t="s">
        <v>158</v>
      </c>
      <c r="S27" s="38" t="s">
        <v>74</v>
      </c>
      <c r="T27" s="30"/>
    </row>
    <row r="28" spans="2:20" ht="30.75" hidden="1" customHeight="1">
      <c r="B28" s="259" t="s">
        <v>266</v>
      </c>
      <c r="D28" s="110">
        <v>1152.5999999999999</v>
      </c>
      <c r="E28" s="109"/>
      <c r="F28" s="110"/>
      <c r="G28" s="100">
        <f t="shared" si="7"/>
        <v>40759200</v>
      </c>
      <c r="H28" s="357">
        <f>1152+2520</f>
        <v>3672</v>
      </c>
      <c r="I28" s="40">
        <f t="shared" si="9"/>
        <v>40759200</v>
      </c>
      <c r="J28" s="49">
        <f t="shared" si="10"/>
        <v>3672</v>
      </c>
      <c r="K28" s="6"/>
      <c r="L28" s="4"/>
      <c r="M28" s="191"/>
      <c r="N28" s="4"/>
      <c r="O28" s="359">
        <v>11100</v>
      </c>
      <c r="P28" s="6" t="s">
        <v>35</v>
      </c>
      <c r="Q28" s="45" t="s">
        <v>248</v>
      </c>
      <c r="R28" s="63" t="s">
        <v>158</v>
      </c>
      <c r="S28" s="38" t="s">
        <v>247</v>
      </c>
      <c r="T28" s="30"/>
    </row>
    <row r="29" spans="2:20" ht="30.75" hidden="1" customHeight="1">
      <c r="C29" s="3" t="s">
        <v>282</v>
      </c>
      <c r="D29" s="110">
        <v>1017.33</v>
      </c>
      <c r="E29" s="109"/>
      <c r="F29" s="110"/>
      <c r="G29" s="100">
        <f t="shared" si="7"/>
        <v>97239700</v>
      </c>
      <c r="H29" s="357">
        <f>1017+1000*0.5</f>
        <v>1517</v>
      </c>
      <c r="I29" s="40">
        <f t="shared" si="9"/>
        <v>-5320300</v>
      </c>
      <c r="J29" s="49">
        <f t="shared" si="10"/>
        <v>-83</v>
      </c>
      <c r="K29" s="6"/>
      <c r="L29" s="4"/>
      <c r="M29" s="191">
        <f t="shared" si="8"/>
        <v>102560000</v>
      </c>
      <c r="N29" s="4">
        <v>1600</v>
      </c>
      <c r="O29" s="359">
        <v>64100</v>
      </c>
      <c r="P29" s="6" t="s">
        <v>35</v>
      </c>
      <c r="Q29" s="45" t="s">
        <v>77</v>
      </c>
      <c r="R29" s="63" t="s">
        <v>158</v>
      </c>
      <c r="S29" s="38" t="s">
        <v>76</v>
      </c>
      <c r="T29" s="30"/>
    </row>
    <row r="30" spans="2:20" ht="30.75" hidden="1" customHeight="1">
      <c r="B30" s="259">
        <v>800</v>
      </c>
      <c r="D30" s="110"/>
      <c r="E30" s="109"/>
      <c r="F30" s="110"/>
      <c r="G30" s="100">
        <f t="shared" si="7"/>
        <v>740000</v>
      </c>
      <c r="H30" s="357">
        <v>800</v>
      </c>
      <c r="I30" s="40">
        <f t="shared" si="9"/>
        <v>740000</v>
      </c>
      <c r="J30" s="49">
        <f t="shared" si="10"/>
        <v>800</v>
      </c>
      <c r="K30" s="6"/>
      <c r="L30" s="4"/>
      <c r="M30" s="191">
        <f t="shared" si="8"/>
        <v>0</v>
      </c>
      <c r="N30" s="4"/>
      <c r="O30" s="359">
        <v>925</v>
      </c>
      <c r="P30" s="6" t="s">
        <v>35</v>
      </c>
      <c r="Q30" s="45" t="s">
        <v>80</v>
      </c>
      <c r="R30" s="63" t="s">
        <v>158</v>
      </c>
      <c r="S30" s="38" t="s">
        <v>78</v>
      </c>
      <c r="T30" s="30"/>
    </row>
    <row r="31" spans="2:20" ht="30.75" hidden="1" customHeight="1">
      <c r="D31" s="110"/>
      <c r="E31" s="109"/>
      <c r="F31" s="110"/>
      <c r="G31" s="100">
        <f t="shared" si="7"/>
        <v>2280000</v>
      </c>
      <c r="H31" s="357">
        <v>300</v>
      </c>
      <c r="I31" s="40">
        <f t="shared" si="9"/>
        <v>2280000</v>
      </c>
      <c r="J31" s="49">
        <f t="shared" si="10"/>
        <v>300</v>
      </c>
      <c r="K31" s="6"/>
      <c r="L31" s="4"/>
      <c r="M31" s="191">
        <f t="shared" si="8"/>
        <v>0</v>
      </c>
      <c r="N31" s="4"/>
      <c r="O31" s="359">
        <v>7600</v>
      </c>
      <c r="P31" s="6" t="s">
        <v>35</v>
      </c>
      <c r="Q31" s="45" t="s">
        <v>81</v>
      </c>
      <c r="R31" s="63" t="s">
        <v>158</v>
      </c>
      <c r="S31" s="38" t="s">
        <v>79</v>
      </c>
      <c r="T31" s="30"/>
    </row>
    <row r="32" spans="2:20" ht="30.75" hidden="1" customHeight="1">
      <c r="B32" s="259">
        <v>4200</v>
      </c>
      <c r="C32" s="3">
        <v>1000</v>
      </c>
      <c r="D32" s="110">
        <v>16823.82</v>
      </c>
      <c r="E32" s="109"/>
      <c r="F32" s="110"/>
      <c r="G32" s="100">
        <f t="shared" si="7"/>
        <v>66509460</v>
      </c>
      <c r="H32" s="203">
        <f>16823+1000+4200</f>
        <v>22023</v>
      </c>
      <c r="I32" s="40">
        <f t="shared" si="9"/>
        <v>57449460</v>
      </c>
      <c r="J32" s="49">
        <f t="shared" si="10"/>
        <v>19023</v>
      </c>
      <c r="K32" s="6"/>
      <c r="L32" s="4"/>
      <c r="M32" s="191">
        <f t="shared" si="8"/>
        <v>9060000</v>
      </c>
      <c r="N32" s="4">
        <v>3000</v>
      </c>
      <c r="O32" s="359">
        <v>3020</v>
      </c>
      <c r="P32" s="6" t="s">
        <v>35</v>
      </c>
      <c r="Q32" s="46" t="s">
        <v>41</v>
      </c>
      <c r="R32" s="63" t="s">
        <v>158</v>
      </c>
      <c r="S32" s="31" t="s">
        <v>37</v>
      </c>
      <c r="T32" s="29"/>
    </row>
    <row r="33" spans="2:20" ht="30.75" hidden="1" customHeight="1">
      <c r="B33" s="259" t="s">
        <v>267</v>
      </c>
      <c r="C33" s="3" t="s">
        <v>283</v>
      </c>
      <c r="D33" s="110">
        <v>67702.559999999998</v>
      </c>
      <c r="E33" s="109"/>
      <c r="F33" s="110"/>
      <c r="G33" s="100">
        <f t="shared" si="7"/>
        <v>23453030</v>
      </c>
      <c r="H33" s="357">
        <f>67702+4*1000+4200*4</f>
        <v>88502</v>
      </c>
      <c r="I33" s="40">
        <f t="shared" si="9"/>
        <v>20273030</v>
      </c>
      <c r="J33" s="49">
        <f t="shared" si="10"/>
        <v>76502</v>
      </c>
      <c r="K33" s="6"/>
      <c r="L33" s="4"/>
      <c r="M33" s="191">
        <f t="shared" si="8"/>
        <v>3180000</v>
      </c>
      <c r="N33" s="4">
        <v>12000</v>
      </c>
      <c r="O33" s="359">
        <v>265</v>
      </c>
      <c r="P33" s="6" t="s">
        <v>35</v>
      </c>
      <c r="Q33" s="46" t="s">
        <v>42</v>
      </c>
      <c r="R33" s="63" t="s">
        <v>158</v>
      </c>
      <c r="S33" s="31" t="s">
        <v>38</v>
      </c>
      <c r="T33" s="29"/>
    </row>
    <row r="34" spans="2:20" ht="30.75" hidden="1" customHeight="1">
      <c r="B34" s="259" t="s">
        <v>268</v>
      </c>
      <c r="C34" s="3" t="s">
        <v>284</v>
      </c>
      <c r="D34" s="110">
        <v>161360.4</v>
      </c>
      <c r="E34" s="109"/>
      <c r="F34" s="110"/>
      <c r="G34" s="100">
        <f t="shared" si="7"/>
        <v>183612800</v>
      </c>
      <c r="H34" s="357">
        <f>161360+5*1000+4200*5</f>
        <v>187360</v>
      </c>
      <c r="I34" s="40">
        <f t="shared" si="9"/>
        <v>4466840</v>
      </c>
      <c r="J34" s="49">
        <f t="shared" si="10"/>
        <v>4558</v>
      </c>
      <c r="K34" s="6"/>
      <c r="L34" s="4"/>
      <c r="M34" s="191">
        <f t="shared" si="8"/>
        <v>179145960</v>
      </c>
      <c r="N34" s="4">
        <v>182802</v>
      </c>
      <c r="O34" s="359">
        <v>980</v>
      </c>
      <c r="P34" s="6" t="s">
        <v>44</v>
      </c>
      <c r="Q34" s="46" t="s">
        <v>222</v>
      </c>
      <c r="R34" s="63" t="s">
        <v>158</v>
      </c>
      <c r="S34" s="31" t="s">
        <v>39</v>
      </c>
      <c r="T34" s="29"/>
    </row>
    <row r="35" spans="2:20" ht="30.75" hidden="1" customHeight="1">
      <c r="D35" s="110">
        <v>103500</v>
      </c>
      <c r="E35" s="109"/>
      <c r="F35" s="110"/>
      <c r="G35" s="100">
        <f t="shared" si="7"/>
        <v>92632500</v>
      </c>
      <c r="H35" s="357">
        <v>103500</v>
      </c>
      <c r="I35" s="40">
        <f t="shared" si="9"/>
        <v>-10292500</v>
      </c>
      <c r="J35" s="49">
        <f t="shared" si="10"/>
        <v>-11500</v>
      </c>
      <c r="K35" s="6"/>
      <c r="L35" s="4"/>
      <c r="M35" s="191">
        <f t="shared" si="8"/>
        <v>102925000</v>
      </c>
      <c r="N35" s="4">
        <v>115000</v>
      </c>
      <c r="O35" s="359">
        <v>895</v>
      </c>
      <c r="P35" s="6" t="s">
        <v>44</v>
      </c>
      <c r="Q35" s="46" t="s">
        <v>223</v>
      </c>
      <c r="R35" s="63" t="s">
        <v>158</v>
      </c>
      <c r="S35" s="31" t="s">
        <v>221</v>
      </c>
      <c r="T35" s="29"/>
    </row>
    <row r="36" spans="2:20" ht="30.75" hidden="1" customHeight="1">
      <c r="B36" s="259" t="s">
        <v>269</v>
      </c>
      <c r="C36" s="3" t="s">
        <v>285</v>
      </c>
      <c r="D36" s="110">
        <v>8037.38</v>
      </c>
      <c r="E36" s="109"/>
      <c r="F36" s="110"/>
      <c r="G36" s="100">
        <f t="shared" si="7"/>
        <v>14662800</v>
      </c>
      <c r="H36" s="357">
        <f>8037+780*0.5*5+2232</f>
        <v>12219</v>
      </c>
      <c r="I36" s="40">
        <f t="shared" si="9"/>
        <v>14662800</v>
      </c>
      <c r="J36" s="49">
        <f t="shared" si="10"/>
        <v>12219</v>
      </c>
      <c r="K36" s="6"/>
      <c r="L36" s="4"/>
      <c r="M36" s="191">
        <f t="shared" si="8"/>
        <v>0</v>
      </c>
      <c r="N36" s="4"/>
      <c r="O36" s="105">
        <v>1200</v>
      </c>
      <c r="P36" s="10" t="s">
        <v>44</v>
      </c>
      <c r="Q36" s="47" t="s">
        <v>43</v>
      </c>
      <c r="R36" s="63" t="s">
        <v>158</v>
      </c>
      <c r="S36" s="31" t="s">
        <v>40</v>
      </c>
      <c r="T36" s="29"/>
    </row>
    <row r="37" spans="2:20" ht="30.75" hidden="1" customHeight="1">
      <c r="D37" s="110">
        <v>23833.7</v>
      </c>
      <c r="E37" s="109"/>
      <c r="F37" s="110"/>
      <c r="G37" s="100">
        <f t="shared" si="7"/>
        <v>412300000</v>
      </c>
      <c r="H37" s="357">
        <f>H39+H137</f>
        <v>11780</v>
      </c>
      <c r="I37" s="40">
        <f t="shared" si="9"/>
        <v>-791420000</v>
      </c>
      <c r="J37" s="49">
        <f t="shared" si="10"/>
        <v>-22612</v>
      </c>
      <c r="K37" s="6"/>
      <c r="L37" s="4"/>
      <c r="M37" s="192">
        <f t="shared" si="8"/>
        <v>1203720000</v>
      </c>
      <c r="N37" s="4">
        <v>34392</v>
      </c>
      <c r="O37" s="105">
        <v>35000</v>
      </c>
      <c r="P37" s="6" t="s">
        <v>35</v>
      </c>
      <c r="Q37" s="48" t="s">
        <v>225</v>
      </c>
      <c r="R37" s="63" t="s">
        <v>158</v>
      </c>
      <c r="S37" s="31" t="s">
        <v>224</v>
      </c>
      <c r="T37" s="29"/>
    </row>
    <row r="38" spans="2:20" ht="30.75" hidden="1" customHeight="1">
      <c r="D38" s="112"/>
      <c r="E38" s="109"/>
      <c r="F38" s="112"/>
      <c r="G38" s="100">
        <f t="shared" si="7"/>
        <v>2060000</v>
      </c>
      <c r="H38" s="357">
        <v>4000</v>
      </c>
      <c r="I38" s="40">
        <f t="shared" si="9"/>
        <v>2060000</v>
      </c>
      <c r="J38" s="49">
        <f t="shared" si="10"/>
        <v>4000</v>
      </c>
      <c r="K38" s="6"/>
      <c r="L38" s="4"/>
      <c r="M38" s="191">
        <f t="shared" si="8"/>
        <v>0</v>
      </c>
      <c r="N38" s="4"/>
      <c r="O38" s="105">
        <v>515</v>
      </c>
      <c r="P38" s="6" t="s">
        <v>35</v>
      </c>
      <c r="Q38" s="48" t="s">
        <v>154</v>
      </c>
      <c r="R38" s="63" t="s">
        <v>158</v>
      </c>
      <c r="S38" s="31" t="s">
        <v>153</v>
      </c>
      <c r="T38" s="29"/>
    </row>
    <row r="39" spans="2:20" ht="30.75" hidden="1" customHeight="1">
      <c r="D39" s="122">
        <v>4500</v>
      </c>
      <c r="E39" s="109"/>
      <c r="F39" s="122"/>
      <c r="G39" s="100">
        <f t="shared" si="7"/>
        <v>306000000</v>
      </c>
      <c r="H39" s="224">
        <v>4500</v>
      </c>
      <c r="I39" s="40">
        <f t="shared" si="9"/>
        <v>-34000000</v>
      </c>
      <c r="J39" s="49">
        <f>H39-N39</f>
        <v>-500</v>
      </c>
      <c r="K39" s="7"/>
      <c r="L39" s="59"/>
      <c r="M39" s="191">
        <f t="shared" si="8"/>
        <v>340000000</v>
      </c>
      <c r="N39" s="59">
        <v>5000</v>
      </c>
      <c r="O39" s="225">
        <v>68000</v>
      </c>
      <c r="P39" s="6" t="s">
        <v>35</v>
      </c>
      <c r="Q39" s="226" t="s">
        <v>227</v>
      </c>
      <c r="R39" s="63" t="s">
        <v>158</v>
      </c>
      <c r="S39" s="227" t="s">
        <v>226</v>
      </c>
      <c r="T39" s="29"/>
    </row>
    <row r="40" spans="2:20" ht="34.5" hidden="1" customHeight="1" thickBot="1">
      <c r="D40" s="118"/>
      <c r="E40" s="109"/>
      <c r="F40" s="118"/>
      <c r="G40" s="397">
        <f>SUM(G24:G39)</f>
        <v>1343048010</v>
      </c>
      <c r="H40" s="398"/>
      <c r="I40" s="402">
        <f>SUM(I24:I39)</f>
        <v>-644143450</v>
      </c>
      <c r="J40" s="402"/>
      <c r="K40" s="400">
        <f>SUM(K24:K38)</f>
        <v>0</v>
      </c>
      <c r="L40" s="400"/>
      <c r="M40" s="400">
        <f>SUM(M24:M39)</f>
        <v>1987191460</v>
      </c>
      <c r="N40" s="400"/>
      <c r="O40" s="119"/>
      <c r="P40" s="353"/>
      <c r="Q40" s="114" t="s">
        <v>5</v>
      </c>
      <c r="R40" s="8" t="s">
        <v>158</v>
      </c>
      <c r="S40" s="209"/>
      <c r="T40" s="29"/>
    </row>
    <row r="41" spans="2:20" ht="49.5" hidden="1" customHeight="1" thickBot="1">
      <c r="D41" s="13"/>
      <c r="F41" s="13"/>
      <c r="G41" s="101"/>
      <c r="H41" s="44"/>
      <c r="I41" s="51"/>
      <c r="J41" s="51"/>
      <c r="K41" s="44"/>
      <c r="L41" s="44"/>
      <c r="M41" s="101"/>
      <c r="N41" s="44"/>
      <c r="O41" s="106"/>
      <c r="P41" s="44"/>
      <c r="Q41" s="19"/>
      <c r="R41" s="70"/>
      <c r="S41" s="210"/>
      <c r="T41" s="29"/>
    </row>
    <row r="42" spans="2:20" ht="23.25" hidden="1" customHeight="1">
      <c r="D42" s="173"/>
      <c r="F42" s="173"/>
      <c r="G42" s="382" t="s">
        <v>300</v>
      </c>
      <c r="H42" s="382"/>
      <c r="I42" s="382" t="s">
        <v>145</v>
      </c>
      <c r="J42" s="382"/>
      <c r="K42" s="78"/>
      <c r="L42" s="78"/>
      <c r="M42" s="199"/>
      <c r="N42" s="78"/>
      <c r="O42" s="79"/>
      <c r="P42" s="78"/>
      <c r="Q42" s="80" t="s">
        <v>171</v>
      </c>
      <c r="R42" s="41"/>
      <c r="S42" s="219"/>
    </row>
    <row r="43" spans="2:20" ht="23.25" hidden="1" customHeight="1">
      <c r="D43" s="174"/>
      <c r="F43" s="174"/>
      <c r="G43" s="96"/>
      <c r="H43" s="82"/>
      <c r="I43" s="83"/>
      <c r="J43" s="143" t="s">
        <v>146</v>
      </c>
      <c r="K43" s="144"/>
      <c r="L43" s="144"/>
      <c r="M43" s="200"/>
      <c r="N43" s="144"/>
      <c r="O43" s="135"/>
      <c r="P43" s="144"/>
      <c r="Q43" s="84" t="s">
        <v>292</v>
      </c>
      <c r="R43" s="56"/>
      <c r="S43" s="175"/>
    </row>
    <row r="44" spans="2:20" ht="25.5" hidden="1" customHeight="1" thickBot="1">
      <c r="D44" s="176"/>
      <c r="F44" s="176"/>
      <c r="G44" s="145"/>
      <c r="H44" s="136"/>
      <c r="I44" s="146"/>
      <c r="J44" s="146"/>
      <c r="K44" s="136"/>
      <c r="L44" s="136"/>
      <c r="M44" s="145" t="s">
        <v>183</v>
      </c>
      <c r="N44" s="136"/>
      <c r="O44" s="136"/>
      <c r="P44" s="136"/>
      <c r="Q44" s="86" t="s">
        <v>185</v>
      </c>
      <c r="R44" s="42"/>
      <c r="S44" s="220"/>
    </row>
    <row r="45" spans="2:20" ht="25.5" hidden="1" customHeight="1">
      <c r="C45" s="3" t="s">
        <v>288</v>
      </c>
      <c r="D45" s="249">
        <v>462.4</v>
      </c>
      <c r="F45" s="249"/>
      <c r="G45" s="250">
        <f>H45*O45</f>
        <v>44737000</v>
      </c>
      <c r="H45" s="251">
        <f>462+100*7</f>
        <v>1162</v>
      </c>
      <c r="I45" s="40">
        <f>J45*O45</f>
        <v>42427000</v>
      </c>
      <c r="J45" s="268">
        <f>H45-N45</f>
        <v>1102</v>
      </c>
      <c r="K45" s="251"/>
      <c r="L45" s="251"/>
      <c r="M45" s="252">
        <f>N45*O45</f>
        <v>2310000</v>
      </c>
      <c r="N45" s="253">
        <v>60</v>
      </c>
      <c r="O45" s="254">
        <v>38500</v>
      </c>
      <c r="P45" s="255" t="s">
        <v>187</v>
      </c>
      <c r="Q45" s="256" t="s">
        <v>229</v>
      </c>
      <c r="R45" s="257"/>
      <c r="S45" s="258" t="s">
        <v>228</v>
      </c>
    </row>
    <row r="46" spans="2:20" ht="30.75" hidden="1" customHeight="1">
      <c r="B46" s="259">
        <v>1099</v>
      </c>
      <c r="D46" s="228">
        <v>900</v>
      </c>
      <c r="E46" s="109"/>
      <c r="F46" s="228"/>
      <c r="G46" s="100">
        <f t="shared" ref="G46:G59" si="11">H46*O46</f>
        <v>184307800</v>
      </c>
      <c r="H46" s="357">
        <f>900+1099</f>
        <v>1999</v>
      </c>
      <c r="I46" s="40">
        <f t="shared" ref="I46:I59" si="12">J46*O46</f>
        <v>168910400</v>
      </c>
      <c r="J46" s="49">
        <f t="shared" ref="J46:J59" si="13">H46-N46</f>
        <v>1832</v>
      </c>
      <c r="K46" s="357"/>
      <c r="L46" s="357"/>
      <c r="M46" s="242">
        <f t="shared" ref="M46:M59" si="14">N46*O46</f>
        <v>15397400</v>
      </c>
      <c r="N46" s="231">
        <v>167</v>
      </c>
      <c r="O46" s="232">
        <v>92200</v>
      </c>
      <c r="P46" s="229" t="s">
        <v>187</v>
      </c>
      <c r="Q46" s="230" t="s">
        <v>186</v>
      </c>
      <c r="R46" s="63"/>
      <c r="S46" s="358" t="s">
        <v>230</v>
      </c>
    </row>
    <row r="47" spans="2:20" ht="30.75" hidden="1" customHeight="1">
      <c r="D47" s="111"/>
      <c r="E47" s="109"/>
      <c r="F47" s="111"/>
      <c r="G47" s="100">
        <f t="shared" si="11"/>
        <v>0</v>
      </c>
      <c r="H47" s="357"/>
      <c r="I47" s="40">
        <f t="shared" si="12"/>
        <v>0</v>
      </c>
      <c r="J47" s="49">
        <f t="shared" si="13"/>
        <v>0</v>
      </c>
      <c r="K47" s="4"/>
      <c r="L47" s="4"/>
      <c r="M47" s="242">
        <f t="shared" si="14"/>
        <v>0</v>
      </c>
      <c r="N47" s="231"/>
      <c r="O47" s="233">
        <v>104000</v>
      </c>
      <c r="P47" s="152" t="s">
        <v>187</v>
      </c>
      <c r="Q47" s="123" t="s">
        <v>188</v>
      </c>
      <c r="R47" s="63" t="s">
        <v>158</v>
      </c>
      <c r="S47" s="38" t="s">
        <v>83</v>
      </c>
    </row>
    <row r="48" spans="2:20" ht="30.75" hidden="1" customHeight="1">
      <c r="D48" s="111"/>
      <c r="E48" s="109"/>
      <c r="F48" s="111"/>
      <c r="G48" s="100">
        <f t="shared" si="11"/>
        <v>0</v>
      </c>
      <c r="H48" s="357"/>
      <c r="I48" s="40">
        <f t="shared" si="12"/>
        <v>0</v>
      </c>
      <c r="J48" s="49">
        <f t="shared" si="13"/>
        <v>0</v>
      </c>
      <c r="K48" s="4"/>
      <c r="L48" s="4"/>
      <c r="M48" s="242">
        <f t="shared" si="14"/>
        <v>0</v>
      </c>
      <c r="N48" s="231"/>
      <c r="O48" s="234">
        <v>259500</v>
      </c>
      <c r="P48" s="153" t="s">
        <v>187</v>
      </c>
      <c r="Q48" s="124" t="s">
        <v>189</v>
      </c>
      <c r="R48" s="63" t="s">
        <v>158</v>
      </c>
      <c r="S48" s="38" t="s">
        <v>180</v>
      </c>
    </row>
    <row r="49" spans="2:20" ht="30.75" hidden="1" customHeight="1">
      <c r="B49" s="259">
        <v>2000</v>
      </c>
      <c r="D49" s="111">
        <v>1897.39</v>
      </c>
      <c r="E49" s="109"/>
      <c r="F49" s="111"/>
      <c r="G49" s="100">
        <f t="shared" si="11"/>
        <v>1077511000</v>
      </c>
      <c r="H49" s="357">
        <f>1897+2200</f>
        <v>4097</v>
      </c>
      <c r="I49" s="40">
        <f t="shared" si="12"/>
        <v>827398000</v>
      </c>
      <c r="J49" s="49">
        <f t="shared" si="13"/>
        <v>3146</v>
      </c>
      <c r="K49" s="4"/>
      <c r="L49" s="4"/>
      <c r="M49" s="242">
        <f t="shared" si="14"/>
        <v>250113000</v>
      </c>
      <c r="N49" s="231">
        <v>951</v>
      </c>
      <c r="O49" s="235">
        <v>263000</v>
      </c>
      <c r="P49" s="154" t="s">
        <v>187</v>
      </c>
      <c r="Q49" s="125" t="s">
        <v>190</v>
      </c>
      <c r="R49" s="63" t="s">
        <v>158</v>
      </c>
      <c r="S49" s="38" t="s">
        <v>172</v>
      </c>
    </row>
    <row r="50" spans="2:20" ht="30.75" hidden="1" customHeight="1">
      <c r="B50" s="259">
        <v>2000</v>
      </c>
      <c r="D50" s="111">
        <v>1860.03</v>
      </c>
      <c r="E50" s="109"/>
      <c r="F50" s="111"/>
      <c r="G50" s="100">
        <f t="shared" si="11"/>
        <v>220458000</v>
      </c>
      <c r="H50" s="357">
        <f>1860+2200</f>
        <v>4060</v>
      </c>
      <c r="I50" s="40">
        <f t="shared" si="12"/>
        <v>168818700</v>
      </c>
      <c r="J50" s="49">
        <f t="shared" si="13"/>
        <v>3109</v>
      </c>
      <c r="K50" s="4"/>
      <c r="L50" s="4"/>
      <c r="M50" s="242">
        <f t="shared" si="14"/>
        <v>51639300</v>
      </c>
      <c r="N50" s="231">
        <v>951</v>
      </c>
      <c r="O50" s="236">
        <v>54300</v>
      </c>
      <c r="P50" s="155" t="s">
        <v>187</v>
      </c>
      <c r="Q50" s="126" t="s">
        <v>191</v>
      </c>
      <c r="R50" s="63" t="s">
        <v>158</v>
      </c>
      <c r="S50" s="38" t="s">
        <v>173</v>
      </c>
    </row>
    <row r="51" spans="2:20" ht="30.75" hidden="1" customHeight="1">
      <c r="B51" s="259">
        <v>1400</v>
      </c>
      <c r="D51" s="111">
        <v>1964.98</v>
      </c>
      <c r="E51" s="109"/>
      <c r="F51" s="111"/>
      <c r="G51" s="100">
        <f t="shared" si="11"/>
        <v>225388000</v>
      </c>
      <c r="H51" s="357">
        <f>1964+1400</f>
        <v>3364</v>
      </c>
      <c r="I51" s="40">
        <f t="shared" si="12"/>
        <v>134469000</v>
      </c>
      <c r="J51" s="49">
        <f t="shared" si="13"/>
        <v>2007</v>
      </c>
      <c r="K51" s="4"/>
      <c r="L51" s="4"/>
      <c r="M51" s="242">
        <f t="shared" si="14"/>
        <v>90919000</v>
      </c>
      <c r="N51" s="231">
        <v>1357</v>
      </c>
      <c r="O51" s="237">
        <v>67000</v>
      </c>
      <c r="P51" s="156" t="s">
        <v>82</v>
      </c>
      <c r="Q51" s="127" t="s">
        <v>215</v>
      </c>
      <c r="R51" s="63" t="s">
        <v>158</v>
      </c>
      <c r="S51" s="38" t="s">
        <v>214</v>
      </c>
    </row>
    <row r="52" spans="2:20" ht="30.75" hidden="1" customHeight="1">
      <c r="D52" s="111"/>
      <c r="E52" s="109"/>
      <c r="F52" s="111"/>
      <c r="G52" s="100">
        <f t="shared" si="11"/>
        <v>0</v>
      </c>
      <c r="H52" s="357"/>
      <c r="I52" s="40">
        <f t="shared" si="12"/>
        <v>0</v>
      </c>
      <c r="J52" s="49">
        <f t="shared" si="13"/>
        <v>0</v>
      </c>
      <c r="K52" s="4"/>
      <c r="L52" s="4"/>
      <c r="M52" s="242">
        <f t="shared" si="14"/>
        <v>0</v>
      </c>
      <c r="N52" s="231"/>
      <c r="O52" s="238">
        <v>24300</v>
      </c>
      <c r="P52" s="157" t="s">
        <v>187</v>
      </c>
      <c r="Q52" s="128" t="s">
        <v>192</v>
      </c>
      <c r="R52" s="63" t="s">
        <v>158</v>
      </c>
      <c r="S52" s="38" t="s">
        <v>174</v>
      </c>
    </row>
    <row r="53" spans="2:20" ht="30.75" hidden="1" customHeight="1">
      <c r="D53" s="111"/>
      <c r="E53" s="109"/>
      <c r="F53" s="111"/>
      <c r="G53" s="100">
        <f t="shared" si="11"/>
        <v>0</v>
      </c>
      <c r="H53" s="357"/>
      <c r="I53" s="40">
        <f t="shared" si="12"/>
        <v>0</v>
      </c>
      <c r="J53" s="49">
        <f t="shared" si="13"/>
        <v>0</v>
      </c>
      <c r="K53" s="4"/>
      <c r="L53" s="4"/>
      <c r="M53" s="242">
        <f t="shared" si="14"/>
        <v>0</v>
      </c>
      <c r="N53" s="231"/>
      <c r="O53" s="238">
        <v>664000</v>
      </c>
      <c r="P53" s="157" t="s">
        <v>187</v>
      </c>
      <c r="Q53" s="128" t="s">
        <v>261</v>
      </c>
      <c r="R53" s="63" t="s">
        <v>158</v>
      </c>
      <c r="S53" s="38" t="s">
        <v>260</v>
      </c>
    </row>
    <row r="54" spans="2:20" ht="30.75" hidden="1" customHeight="1">
      <c r="B54" s="259">
        <v>70</v>
      </c>
      <c r="D54" s="111"/>
      <c r="E54" s="109"/>
      <c r="F54" s="111"/>
      <c r="G54" s="100">
        <f t="shared" si="11"/>
        <v>2394000</v>
      </c>
      <c r="H54" s="357">
        <v>70</v>
      </c>
      <c r="I54" s="40">
        <f t="shared" si="12"/>
        <v>2394000</v>
      </c>
      <c r="J54" s="49">
        <f t="shared" si="13"/>
        <v>70</v>
      </c>
      <c r="K54" s="4"/>
      <c r="L54" s="4"/>
      <c r="M54" s="242">
        <f t="shared" si="14"/>
        <v>0</v>
      </c>
      <c r="N54" s="231"/>
      <c r="O54" s="238">
        <v>34200</v>
      </c>
      <c r="P54" s="157" t="s">
        <v>187</v>
      </c>
      <c r="Q54" s="262" t="s">
        <v>259</v>
      </c>
      <c r="R54" s="63" t="s">
        <v>158</v>
      </c>
      <c r="S54" s="38" t="s">
        <v>258</v>
      </c>
    </row>
    <row r="55" spans="2:20" ht="30.75" hidden="1" customHeight="1">
      <c r="D55" s="111">
        <v>328.27</v>
      </c>
      <c r="E55" s="109"/>
      <c r="F55" s="111"/>
      <c r="G55" s="100">
        <f t="shared" si="11"/>
        <v>9118400</v>
      </c>
      <c r="H55" s="357">
        <f>328</f>
        <v>328</v>
      </c>
      <c r="I55" s="40">
        <f t="shared" si="12"/>
        <v>3558400</v>
      </c>
      <c r="J55" s="49">
        <f t="shared" si="13"/>
        <v>128</v>
      </c>
      <c r="K55" s="4"/>
      <c r="L55" s="4"/>
      <c r="M55" s="242">
        <f t="shared" si="14"/>
        <v>5560000</v>
      </c>
      <c r="N55" s="231">
        <v>200</v>
      </c>
      <c r="O55" s="239">
        <v>27800</v>
      </c>
      <c r="P55" s="157" t="s">
        <v>187</v>
      </c>
      <c r="Q55" s="129" t="s">
        <v>194</v>
      </c>
      <c r="R55" s="63" t="s">
        <v>158</v>
      </c>
      <c r="S55" s="38" t="s">
        <v>175</v>
      </c>
    </row>
    <row r="56" spans="2:20" ht="30.75" hidden="1" customHeight="1">
      <c r="D56" s="111">
        <v>964.17</v>
      </c>
      <c r="E56" s="109"/>
      <c r="F56" s="111"/>
      <c r="G56" s="100">
        <f t="shared" si="11"/>
        <v>29787600</v>
      </c>
      <c r="H56" s="357">
        <v>964</v>
      </c>
      <c r="I56" s="40">
        <f t="shared" si="12"/>
        <v>2163000</v>
      </c>
      <c r="J56" s="49">
        <f t="shared" si="13"/>
        <v>70</v>
      </c>
      <c r="K56" s="4"/>
      <c r="L56" s="4"/>
      <c r="M56" s="242">
        <f t="shared" si="14"/>
        <v>27624600</v>
      </c>
      <c r="N56" s="231">
        <v>894</v>
      </c>
      <c r="O56" s="240">
        <v>30900</v>
      </c>
      <c r="P56" s="158" t="s">
        <v>82</v>
      </c>
      <c r="Q56" s="130" t="s">
        <v>193</v>
      </c>
      <c r="R56" s="63" t="s">
        <v>158</v>
      </c>
      <c r="S56" s="38" t="s">
        <v>176</v>
      </c>
    </row>
    <row r="57" spans="2:20" ht="30.75" hidden="1" customHeight="1">
      <c r="B57" s="259" t="s">
        <v>293</v>
      </c>
      <c r="C57" s="3" t="s">
        <v>289</v>
      </c>
      <c r="D57" s="110">
        <v>27261</v>
      </c>
      <c r="E57" s="109"/>
      <c r="F57" s="110"/>
      <c r="G57" s="100">
        <f t="shared" si="11"/>
        <v>55821780</v>
      </c>
      <c r="H57" s="357">
        <f>27261+700*9+2000*9*1.3</f>
        <v>56961</v>
      </c>
      <c r="I57" s="40">
        <f t="shared" si="12"/>
        <v>44388120</v>
      </c>
      <c r="J57" s="49">
        <f t="shared" si="13"/>
        <v>45294</v>
      </c>
      <c r="K57" s="4"/>
      <c r="L57" s="4"/>
      <c r="M57" s="242">
        <f t="shared" si="14"/>
        <v>11433660</v>
      </c>
      <c r="N57" s="231">
        <v>11667</v>
      </c>
      <c r="O57" s="241">
        <v>980</v>
      </c>
      <c r="P57" s="6" t="s">
        <v>44</v>
      </c>
      <c r="Q57" s="45" t="s">
        <v>84</v>
      </c>
      <c r="R57" s="63" t="s">
        <v>158</v>
      </c>
      <c r="S57" s="38" t="s">
        <v>85</v>
      </c>
    </row>
    <row r="58" spans="2:20" ht="30.75" hidden="1" customHeight="1">
      <c r="B58" s="259" t="s">
        <v>294</v>
      </c>
      <c r="C58" s="3" t="s">
        <v>290</v>
      </c>
      <c r="D58" s="110">
        <v>76580.14</v>
      </c>
      <c r="E58" s="109"/>
      <c r="F58" s="110"/>
      <c r="G58" s="100">
        <f t="shared" si="11"/>
        <v>127609100</v>
      </c>
      <c r="H58" s="357">
        <f>76580+700*20+2000*20*1.3</f>
        <v>142580</v>
      </c>
      <c r="I58" s="40">
        <f t="shared" si="12"/>
        <v>104405330</v>
      </c>
      <c r="J58" s="49">
        <f t="shared" si="13"/>
        <v>116654</v>
      </c>
      <c r="K58" s="4"/>
      <c r="L58" s="4"/>
      <c r="M58" s="242">
        <f t="shared" si="14"/>
        <v>23203770</v>
      </c>
      <c r="N58" s="231">
        <v>25926</v>
      </c>
      <c r="O58" s="241">
        <v>895</v>
      </c>
      <c r="P58" s="6" t="s">
        <v>44</v>
      </c>
      <c r="Q58" s="45" t="s">
        <v>181</v>
      </c>
      <c r="R58" s="63" t="s">
        <v>158</v>
      </c>
      <c r="S58" s="38" t="s">
        <v>128</v>
      </c>
    </row>
    <row r="59" spans="2:20" ht="30.75" hidden="1" customHeight="1">
      <c r="B59" s="259" t="s">
        <v>295</v>
      </c>
      <c r="D59" s="122">
        <v>53865.71</v>
      </c>
      <c r="E59" s="109"/>
      <c r="F59" s="122"/>
      <c r="G59" s="100">
        <f t="shared" si="11"/>
        <v>68257475</v>
      </c>
      <c r="H59" s="58">
        <f>53865+2000*16*1.3</f>
        <v>95465</v>
      </c>
      <c r="I59" s="40">
        <f t="shared" si="12"/>
        <v>54114060</v>
      </c>
      <c r="J59" s="49">
        <f t="shared" si="13"/>
        <v>75684</v>
      </c>
      <c r="K59" s="59"/>
      <c r="L59" s="59"/>
      <c r="M59" s="242">
        <f t="shared" si="14"/>
        <v>14143415</v>
      </c>
      <c r="N59" s="231">
        <v>19781</v>
      </c>
      <c r="O59" s="241">
        <v>715</v>
      </c>
      <c r="P59" s="6" t="s">
        <v>44</v>
      </c>
      <c r="Q59" s="45" t="s">
        <v>157</v>
      </c>
      <c r="R59" s="63" t="s">
        <v>158</v>
      </c>
      <c r="S59" s="61" t="s">
        <v>156</v>
      </c>
    </row>
    <row r="60" spans="2:20" ht="36.75" hidden="1" customHeight="1" thickBot="1">
      <c r="D60" s="131"/>
      <c r="F60" s="131"/>
      <c r="G60" s="397">
        <f>SUM(G45:G59)</f>
        <v>2045390155</v>
      </c>
      <c r="H60" s="398"/>
      <c r="I60" s="399">
        <f>SUM(I45:I59)</f>
        <v>1553046010</v>
      </c>
      <c r="J60" s="399"/>
      <c r="K60" s="411">
        <f>SUM(K47:K58)</f>
        <v>0</v>
      </c>
      <c r="L60" s="411"/>
      <c r="M60" s="411">
        <f>SUM(M45:M59)</f>
        <v>492344145</v>
      </c>
      <c r="N60" s="411"/>
      <c r="O60" s="133"/>
      <c r="P60" s="355"/>
      <c r="Q60" s="134" t="s">
        <v>86</v>
      </c>
      <c r="R60" s="8" t="s">
        <v>158</v>
      </c>
      <c r="S60" s="209"/>
      <c r="T60" s="29"/>
    </row>
    <row r="61" spans="2:20" ht="49.5" hidden="1" customHeight="1" thickBot="1">
      <c r="D61" s="89"/>
      <c r="F61" s="89"/>
      <c r="G61" s="102"/>
      <c r="H61" s="92"/>
      <c r="I61" s="93"/>
      <c r="J61" s="93"/>
      <c r="K61" s="92"/>
      <c r="L61" s="92"/>
      <c r="M61" s="102"/>
      <c r="N61" s="92"/>
      <c r="O61" s="107"/>
      <c r="P61" s="92"/>
      <c r="Q61" s="94"/>
      <c r="R61" s="69"/>
      <c r="S61" s="211"/>
      <c r="T61" s="29"/>
    </row>
    <row r="62" spans="2:20" ht="23.25" hidden="1" customHeight="1">
      <c r="D62" s="77"/>
      <c r="F62" s="173"/>
      <c r="G62" s="382" t="s">
        <v>300</v>
      </c>
      <c r="H62" s="382"/>
      <c r="I62" s="382" t="s">
        <v>145</v>
      </c>
      <c r="J62" s="382"/>
      <c r="K62" s="78"/>
      <c r="L62" s="78"/>
      <c r="M62" s="199"/>
      <c r="N62" s="78"/>
      <c r="O62" s="79"/>
      <c r="P62" s="78"/>
      <c r="Q62" s="80" t="s">
        <v>171</v>
      </c>
      <c r="R62" s="41"/>
      <c r="S62" s="219"/>
    </row>
    <row r="63" spans="2:20" ht="23.25" hidden="1" customHeight="1">
      <c r="D63" s="81"/>
      <c r="F63" s="174"/>
      <c r="G63" s="96"/>
      <c r="H63" s="82"/>
      <c r="I63" s="83"/>
      <c r="J63" s="143" t="s">
        <v>146</v>
      </c>
      <c r="K63" s="144"/>
      <c r="L63" s="144"/>
      <c r="M63" s="200"/>
      <c r="N63" s="144"/>
      <c r="O63" s="135"/>
      <c r="P63" s="144"/>
      <c r="Q63" s="84" t="s">
        <v>292</v>
      </c>
      <c r="R63" s="56"/>
      <c r="S63" s="175"/>
    </row>
    <row r="64" spans="2:20" ht="23.25" hidden="1" customHeight="1" thickBot="1">
      <c r="D64" s="85"/>
      <c r="F64" s="85"/>
      <c r="G64" s="145"/>
      <c r="H64" s="136"/>
      <c r="I64" s="146"/>
      <c r="J64" s="146"/>
      <c r="K64" s="136"/>
      <c r="L64" s="136"/>
      <c r="M64" s="145" t="s">
        <v>183</v>
      </c>
      <c r="N64" s="136"/>
      <c r="O64" s="136"/>
      <c r="P64" s="136"/>
      <c r="Q64" s="86" t="s">
        <v>195</v>
      </c>
      <c r="R64" s="42"/>
      <c r="S64" s="205"/>
    </row>
    <row r="65" spans="2:20" ht="25.5" hidden="1" customHeight="1">
      <c r="D65" s="385" t="s">
        <v>144</v>
      </c>
      <c r="F65" s="385" t="s">
        <v>144</v>
      </c>
      <c r="G65" s="406" t="s">
        <v>63</v>
      </c>
      <c r="H65" s="406"/>
      <c r="I65" s="409" t="s">
        <v>170</v>
      </c>
      <c r="J65" s="409"/>
      <c r="K65" s="401" t="s">
        <v>2</v>
      </c>
      <c r="L65" s="401"/>
      <c r="M65" s="401" t="s">
        <v>169</v>
      </c>
      <c r="N65" s="401"/>
      <c r="O65" s="426" t="s">
        <v>139</v>
      </c>
      <c r="P65" s="401" t="s">
        <v>1</v>
      </c>
      <c r="Q65" s="401" t="s">
        <v>138</v>
      </c>
      <c r="R65" s="352"/>
      <c r="S65" s="424" t="s">
        <v>0</v>
      </c>
    </row>
    <row r="66" spans="2:20" ht="25.5" hidden="1" customHeight="1">
      <c r="D66" s="386"/>
      <c r="F66" s="386"/>
      <c r="G66" s="97" t="s">
        <v>143</v>
      </c>
      <c r="H66" s="49" t="s">
        <v>142</v>
      </c>
      <c r="I66" s="49" t="s">
        <v>143</v>
      </c>
      <c r="J66" s="49" t="s">
        <v>142</v>
      </c>
      <c r="K66" s="357" t="s">
        <v>4</v>
      </c>
      <c r="L66" s="357" t="s">
        <v>3</v>
      </c>
      <c r="M66" s="100" t="s">
        <v>141</v>
      </c>
      <c r="N66" s="357" t="s">
        <v>140</v>
      </c>
      <c r="O66" s="427"/>
      <c r="P66" s="422"/>
      <c r="Q66" s="422"/>
      <c r="R66" s="2"/>
      <c r="S66" s="425"/>
    </row>
    <row r="67" spans="2:20" ht="34.5" hidden="1" customHeight="1">
      <c r="D67" s="35"/>
      <c r="F67" s="35"/>
      <c r="G67" s="100">
        <f>H67*O67</f>
        <v>0</v>
      </c>
      <c r="H67" s="357"/>
      <c r="I67" s="40">
        <f>J67*O67</f>
        <v>0</v>
      </c>
      <c r="J67" s="49">
        <f>H67-N67</f>
        <v>0</v>
      </c>
      <c r="K67" s="6"/>
      <c r="L67" s="4"/>
      <c r="M67" s="191"/>
      <c r="N67" s="4"/>
      <c r="O67" s="147">
        <v>25900</v>
      </c>
      <c r="P67" s="159" t="s">
        <v>82</v>
      </c>
      <c r="Q67" s="137" t="s">
        <v>196</v>
      </c>
      <c r="R67" s="63" t="s">
        <v>158</v>
      </c>
      <c r="S67" s="38" t="s">
        <v>177</v>
      </c>
      <c r="T67" s="29"/>
    </row>
    <row r="68" spans="2:20" ht="34.5" hidden="1" customHeight="1">
      <c r="D68" s="35"/>
      <c r="F68" s="35"/>
      <c r="G68" s="100">
        <f>H68*O68</f>
        <v>0</v>
      </c>
      <c r="H68" s="357"/>
      <c r="I68" s="40">
        <f>J68*O68</f>
        <v>0</v>
      </c>
      <c r="J68" s="49">
        <f>H68-N68</f>
        <v>0</v>
      </c>
      <c r="K68" s="6"/>
      <c r="L68" s="4"/>
      <c r="M68" s="191"/>
      <c r="N68" s="4"/>
      <c r="O68" s="148">
        <v>39700</v>
      </c>
      <c r="P68" s="160" t="s">
        <v>82</v>
      </c>
      <c r="Q68" s="138" t="s">
        <v>197</v>
      </c>
      <c r="R68" s="63" t="s">
        <v>158</v>
      </c>
      <c r="S68" s="38" t="s">
        <v>178</v>
      </c>
      <c r="T68" s="29"/>
    </row>
    <row r="69" spans="2:20" ht="34.5" hidden="1" customHeight="1">
      <c r="B69" s="259">
        <v>1613</v>
      </c>
      <c r="D69" s="35">
        <v>1964.98</v>
      </c>
      <c r="F69" s="35"/>
      <c r="G69" s="100">
        <f>H69*O69</f>
        <v>29689100</v>
      </c>
      <c r="H69" s="357">
        <f>1964+1613</f>
        <v>3577</v>
      </c>
      <c r="I69" s="40">
        <f>J69*O69</f>
        <v>18426000</v>
      </c>
      <c r="J69" s="49">
        <f>H69-N69</f>
        <v>2220</v>
      </c>
      <c r="K69" s="6"/>
      <c r="L69" s="4"/>
      <c r="M69" s="191">
        <f>N69*O69</f>
        <v>11263100</v>
      </c>
      <c r="N69" s="4">
        <v>1357</v>
      </c>
      <c r="O69" s="149">
        <v>8300</v>
      </c>
      <c r="P69" s="161" t="s">
        <v>82</v>
      </c>
      <c r="Q69" s="222" t="s">
        <v>217</v>
      </c>
      <c r="R69" s="63" t="s">
        <v>158</v>
      </c>
      <c r="S69" s="38" t="s">
        <v>216</v>
      </c>
      <c r="T69" s="29"/>
    </row>
    <row r="70" spans="2:20" ht="34.5" hidden="1" customHeight="1">
      <c r="D70" s="35">
        <v>333.12</v>
      </c>
      <c r="F70" s="35"/>
      <c r="G70" s="100">
        <f>H70*O70</f>
        <v>1698300</v>
      </c>
      <c r="H70" s="357">
        <v>333</v>
      </c>
      <c r="I70" s="40">
        <f>J70*O70</f>
        <v>234600</v>
      </c>
      <c r="J70" s="49">
        <f>H70-N70</f>
        <v>46</v>
      </c>
      <c r="K70" s="6"/>
      <c r="L70" s="4"/>
      <c r="M70" s="191">
        <f>N70*O70</f>
        <v>1463700</v>
      </c>
      <c r="N70" s="4">
        <v>287</v>
      </c>
      <c r="O70" s="150">
        <v>5100</v>
      </c>
      <c r="P70" s="162" t="s">
        <v>82</v>
      </c>
      <c r="Q70" s="139" t="s">
        <v>198</v>
      </c>
      <c r="R70" s="63" t="s">
        <v>158</v>
      </c>
      <c r="S70" s="38" t="s">
        <v>179</v>
      </c>
      <c r="T70" s="29"/>
    </row>
    <row r="71" spans="2:20" ht="33.75" hidden="1" customHeight="1" thickBot="1">
      <c r="D71" s="21"/>
      <c r="F71" s="21"/>
      <c r="G71" s="395">
        <f>SUM(G67:G70)</f>
        <v>31387400</v>
      </c>
      <c r="H71" s="396"/>
      <c r="I71" s="416">
        <f>SUM(I67:I70)</f>
        <v>18660600</v>
      </c>
      <c r="J71" s="417"/>
      <c r="K71" s="8">
        <f>L71*O71</f>
        <v>0</v>
      </c>
      <c r="L71" s="15"/>
      <c r="M71" s="418">
        <f>SUM(M69:M70)</f>
        <v>12726800</v>
      </c>
      <c r="N71" s="419"/>
      <c r="O71" s="23"/>
      <c r="P71" s="8"/>
      <c r="Q71" s="134" t="s">
        <v>199</v>
      </c>
      <c r="R71" s="120" t="s">
        <v>158</v>
      </c>
      <c r="S71" s="121"/>
      <c r="T71" s="29"/>
    </row>
    <row r="72" spans="2:20" ht="25.5" hidden="1" customHeight="1" thickBot="1">
      <c r="D72" s="85"/>
      <c r="F72" s="85"/>
      <c r="G72" s="145"/>
      <c r="H72" s="136"/>
      <c r="I72" s="146"/>
      <c r="J72" s="146"/>
      <c r="K72" s="136"/>
      <c r="L72" s="136"/>
      <c r="M72" s="145" t="s">
        <v>183</v>
      </c>
      <c r="N72" s="136"/>
      <c r="O72" s="136"/>
      <c r="P72" s="136"/>
      <c r="Q72" s="86" t="s">
        <v>200</v>
      </c>
      <c r="R72" s="42"/>
      <c r="S72" s="205"/>
    </row>
    <row r="73" spans="2:20" ht="30" hidden="1" customHeight="1">
      <c r="B73" s="259" t="s">
        <v>262</v>
      </c>
      <c r="C73" s="3">
        <v>300</v>
      </c>
      <c r="D73" s="350">
        <v>184.4</v>
      </c>
      <c r="F73" s="350"/>
      <c r="G73" s="141">
        <f>H73*O73</f>
        <v>50483200</v>
      </c>
      <c r="H73" s="49">
        <f>184+300+540</f>
        <v>1024</v>
      </c>
      <c r="I73" s="40">
        <f>J73*O73</f>
        <v>39144200</v>
      </c>
      <c r="J73" s="49">
        <f>H73-N73</f>
        <v>794</v>
      </c>
      <c r="K73" s="357"/>
      <c r="L73" s="357"/>
      <c r="M73" s="243">
        <f>N73*O73</f>
        <v>11339000</v>
      </c>
      <c r="N73" s="244">
        <v>230</v>
      </c>
      <c r="O73" s="151">
        <v>49300</v>
      </c>
      <c r="P73" s="163" t="s">
        <v>82</v>
      </c>
      <c r="Q73" s="140" t="s">
        <v>201</v>
      </c>
      <c r="R73" s="63" t="s">
        <v>158</v>
      </c>
      <c r="S73" s="356">
        <v>80101</v>
      </c>
    </row>
    <row r="74" spans="2:20" ht="33" hidden="1" customHeight="1">
      <c r="C74" s="3">
        <v>30</v>
      </c>
      <c r="D74" s="20"/>
      <c r="F74" s="20"/>
      <c r="G74" s="141">
        <f t="shared" ref="G74:G83" si="15">H74*O74</f>
        <v>2082000</v>
      </c>
      <c r="H74" s="357">
        <v>30</v>
      </c>
      <c r="I74" s="40">
        <f t="shared" ref="I74:I83" si="16">J74*O74</f>
        <v>2082000</v>
      </c>
      <c r="J74" s="49">
        <f t="shared" ref="J74:J83" si="17">H74-N74</f>
        <v>30</v>
      </c>
      <c r="K74" s="6"/>
      <c r="L74" s="4"/>
      <c r="M74" s="243">
        <f t="shared" ref="M74:M83" si="18">N74*O74</f>
        <v>0</v>
      </c>
      <c r="N74" s="245"/>
      <c r="O74" s="246">
        <v>69400</v>
      </c>
      <c r="P74" s="6" t="s">
        <v>36</v>
      </c>
      <c r="Q74" s="45" t="s">
        <v>203</v>
      </c>
      <c r="R74" s="63" t="s">
        <v>158</v>
      </c>
      <c r="S74" s="38" t="s">
        <v>114</v>
      </c>
    </row>
    <row r="75" spans="2:20" ht="33" hidden="1" customHeight="1">
      <c r="C75" s="3">
        <v>100</v>
      </c>
      <c r="D75" s="20"/>
      <c r="F75" s="20"/>
      <c r="G75" s="141">
        <f t="shared" si="15"/>
        <v>9650000</v>
      </c>
      <c r="H75" s="357">
        <v>100</v>
      </c>
      <c r="I75" s="40">
        <f t="shared" si="16"/>
        <v>-59830000</v>
      </c>
      <c r="J75" s="49">
        <f t="shared" si="17"/>
        <v>-620</v>
      </c>
      <c r="K75" s="6"/>
      <c r="L75" s="4"/>
      <c r="M75" s="243">
        <f t="shared" si="18"/>
        <v>69480000</v>
      </c>
      <c r="N75" s="245">
        <v>720</v>
      </c>
      <c r="O75" s="246">
        <v>96500</v>
      </c>
      <c r="P75" s="6" t="s">
        <v>36</v>
      </c>
      <c r="Q75" s="45" t="s">
        <v>104</v>
      </c>
      <c r="R75" s="63" t="s">
        <v>158</v>
      </c>
      <c r="S75" s="38" t="s">
        <v>103</v>
      </c>
    </row>
    <row r="76" spans="2:20" ht="33" hidden="1" customHeight="1">
      <c r="C76" s="266">
        <v>600</v>
      </c>
      <c r="D76" s="20"/>
      <c r="F76" s="20"/>
      <c r="G76" s="141">
        <f t="shared" si="15"/>
        <v>53750000</v>
      </c>
      <c r="H76" s="357">
        <v>500</v>
      </c>
      <c r="I76" s="40">
        <f t="shared" si="16"/>
        <v>53750000</v>
      </c>
      <c r="J76" s="49">
        <f t="shared" si="17"/>
        <v>500</v>
      </c>
      <c r="K76" s="6"/>
      <c r="L76" s="4"/>
      <c r="M76" s="243">
        <f t="shared" si="18"/>
        <v>0</v>
      </c>
      <c r="N76" s="245"/>
      <c r="O76" s="246">
        <v>107500</v>
      </c>
      <c r="P76" s="6" t="s">
        <v>36</v>
      </c>
      <c r="Q76" s="45" t="s">
        <v>130</v>
      </c>
      <c r="R76" s="63" t="s">
        <v>158</v>
      </c>
      <c r="S76" s="38" t="s">
        <v>129</v>
      </c>
    </row>
    <row r="77" spans="2:20" ht="33" hidden="1" customHeight="1">
      <c r="C77" s="266">
        <v>470</v>
      </c>
      <c r="D77" s="20"/>
      <c r="F77" s="20"/>
      <c r="G77" s="141">
        <f t="shared" si="15"/>
        <v>42000000</v>
      </c>
      <c r="H77" s="357">
        <v>350</v>
      </c>
      <c r="I77" s="40">
        <f t="shared" si="16"/>
        <v>42000000</v>
      </c>
      <c r="J77" s="49">
        <f t="shared" si="17"/>
        <v>350</v>
      </c>
      <c r="K77" s="6"/>
      <c r="L77" s="4"/>
      <c r="M77" s="243">
        <f t="shared" si="18"/>
        <v>0</v>
      </c>
      <c r="N77" s="245"/>
      <c r="O77" s="246">
        <v>120000</v>
      </c>
      <c r="P77" s="6" t="s">
        <v>36</v>
      </c>
      <c r="Q77" s="45" t="s">
        <v>116</v>
      </c>
      <c r="R77" s="63" t="s">
        <v>158</v>
      </c>
      <c r="S77" s="38" t="s">
        <v>115</v>
      </c>
    </row>
    <row r="78" spans="2:20" ht="33" hidden="1" customHeight="1">
      <c r="D78" s="20">
        <v>1521.75</v>
      </c>
      <c r="F78" s="20"/>
      <c r="G78" s="141">
        <f t="shared" si="15"/>
        <v>238036500</v>
      </c>
      <c r="H78" s="357">
        <v>1521</v>
      </c>
      <c r="I78" s="40">
        <f t="shared" si="16"/>
        <v>-5164500</v>
      </c>
      <c r="J78" s="49">
        <f t="shared" si="17"/>
        <v>-33</v>
      </c>
      <c r="K78" s="6"/>
      <c r="L78" s="4"/>
      <c r="M78" s="243">
        <f t="shared" si="18"/>
        <v>243201000</v>
      </c>
      <c r="N78" s="245">
        <v>1554</v>
      </c>
      <c r="O78" s="246">
        <v>156500</v>
      </c>
      <c r="P78" s="6" t="s">
        <v>36</v>
      </c>
      <c r="Q78" s="45" t="s">
        <v>232</v>
      </c>
      <c r="R78" s="63" t="s">
        <v>158</v>
      </c>
      <c r="S78" s="38" t="s">
        <v>231</v>
      </c>
    </row>
    <row r="79" spans="2:20" ht="33" hidden="1" customHeight="1">
      <c r="D79" s="20"/>
      <c r="F79" s="20"/>
      <c r="G79" s="141">
        <f t="shared" si="15"/>
        <v>0</v>
      </c>
      <c r="H79" s="357"/>
      <c r="I79" s="40">
        <f t="shared" si="16"/>
        <v>0</v>
      </c>
      <c r="J79" s="49">
        <f t="shared" si="17"/>
        <v>0</v>
      </c>
      <c r="K79" s="6"/>
      <c r="L79" s="4"/>
      <c r="M79" s="243">
        <f t="shared" si="18"/>
        <v>0</v>
      </c>
      <c r="N79" s="245"/>
      <c r="O79" s="246">
        <v>37500</v>
      </c>
      <c r="P79" s="6" t="s">
        <v>36</v>
      </c>
      <c r="Q79" s="45" t="s">
        <v>147</v>
      </c>
      <c r="R79" s="63" t="s">
        <v>158</v>
      </c>
      <c r="S79" s="36" t="s">
        <v>132</v>
      </c>
    </row>
    <row r="80" spans="2:20" ht="33" hidden="1" customHeight="1">
      <c r="D80" s="20"/>
      <c r="F80" s="20"/>
      <c r="G80" s="141">
        <f t="shared" si="15"/>
        <v>0</v>
      </c>
      <c r="H80" s="357"/>
      <c r="I80" s="40">
        <f t="shared" si="16"/>
        <v>0</v>
      </c>
      <c r="J80" s="49">
        <f t="shared" si="17"/>
        <v>0</v>
      </c>
      <c r="K80" s="6"/>
      <c r="L80" s="4"/>
      <c r="M80" s="243">
        <f t="shared" si="18"/>
        <v>0</v>
      </c>
      <c r="N80" s="245"/>
      <c r="O80" s="246">
        <v>32400</v>
      </c>
      <c r="P80" s="6" t="s">
        <v>36</v>
      </c>
      <c r="Q80" s="45" t="s">
        <v>133</v>
      </c>
      <c r="R80" s="63" t="s">
        <v>158</v>
      </c>
      <c r="S80" s="36" t="s">
        <v>131</v>
      </c>
    </row>
    <row r="81" spans="2:19" ht="33" hidden="1" customHeight="1">
      <c r="D81" s="20"/>
      <c r="F81" s="20"/>
      <c r="G81" s="141">
        <f t="shared" si="15"/>
        <v>0</v>
      </c>
      <c r="H81" s="357"/>
      <c r="I81" s="40">
        <f t="shared" si="16"/>
        <v>0</v>
      </c>
      <c r="J81" s="49">
        <f t="shared" si="17"/>
        <v>0</v>
      </c>
      <c r="K81" s="6"/>
      <c r="L81" s="4"/>
      <c r="M81" s="243">
        <f t="shared" si="18"/>
        <v>0</v>
      </c>
      <c r="N81" s="245"/>
      <c r="O81" s="246">
        <v>13400</v>
      </c>
      <c r="P81" s="6" t="s">
        <v>36</v>
      </c>
      <c r="Q81" s="46" t="s">
        <v>90</v>
      </c>
      <c r="R81" s="63" t="s">
        <v>158</v>
      </c>
      <c r="S81" s="36" t="s">
        <v>88</v>
      </c>
    </row>
    <row r="82" spans="2:19" ht="33" hidden="1" customHeight="1">
      <c r="B82" s="259">
        <v>5520</v>
      </c>
      <c r="C82" s="3">
        <v>3500</v>
      </c>
      <c r="D82" s="20">
        <v>7547.5</v>
      </c>
      <c r="F82" s="20"/>
      <c r="G82" s="141">
        <f t="shared" si="15"/>
        <v>88799120</v>
      </c>
      <c r="H82" s="357">
        <f>7547+3500+5520</f>
        <v>16567</v>
      </c>
      <c r="I82" s="40">
        <f t="shared" si="16"/>
        <v>84484320</v>
      </c>
      <c r="J82" s="49">
        <f t="shared" si="17"/>
        <v>15762</v>
      </c>
      <c r="K82" s="6"/>
      <c r="L82" s="4"/>
      <c r="M82" s="243">
        <f t="shared" si="18"/>
        <v>4314800</v>
      </c>
      <c r="N82" s="245">
        <v>805</v>
      </c>
      <c r="O82" s="246">
        <v>5360</v>
      </c>
      <c r="P82" s="4" t="s">
        <v>47</v>
      </c>
      <c r="Q82" s="46" t="s">
        <v>46</v>
      </c>
      <c r="R82" s="63" t="s">
        <v>158</v>
      </c>
      <c r="S82" s="36" t="s">
        <v>45</v>
      </c>
    </row>
    <row r="83" spans="2:19" ht="33" hidden="1" customHeight="1">
      <c r="C83" s="3">
        <v>300</v>
      </c>
      <c r="D83" s="20"/>
      <c r="F83" s="20"/>
      <c r="G83" s="141">
        <f t="shared" si="15"/>
        <v>18960000</v>
      </c>
      <c r="H83" s="357">
        <v>300</v>
      </c>
      <c r="I83" s="40">
        <f t="shared" si="16"/>
        <v>18960000</v>
      </c>
      <c r="J83" s="49">
        <f t="shared" si="17"/>
        <v>300</v>
      </c>
      <c r="K83" s="6"/>
      <c r="L83" s="4"/>
      <c r="M83" s="243">
        <f t="shared" si="18"/>
        <v>0</v>
      </c>
      <c r="N83" s="245"/>
      <c r="O83" s="246">
        <v>63200</v>
      </c>
      <c r="P83" s="6" t="s">
        <v>36</v>
      </c>
      <c r="Q83" s="46" t="s">
        <v>87</v>
      </c>
      <c r="R83" s="63" t="s">
        <v>158</v>
      </c>
      <c r="S83" s="36" t="s">
        <v>89</v>
      </c>
    </row>
    <row r="84" spans="2:19" ht="33" hidden="1" customHeight="1" thickBot="1">
      <c r="D84" s="142"/>
      <c r="F84" s="142"/>
      <c r="G84" s="412">
        <f>SUM(G73:G83)</f>
        <v>503760820</v>
      </c>
      <c r="H84" s="413"/>
      <c r="I84" s="399">
        <f>SUM(I73:I83)</f>
        <v>175426020</v>
      </c>
      <c r="J84" s="399"/>
      <c r="K84" s="411">
        <f>SUM(K72:K83)</f>
        <v>0</v>
      </c>
      <c r="L84" s="411"/>
      <c r="M84" s="411">
        <f>SUM(M73:M83)</f>
        <v>328334800</v>
      </c>
      <c r="N84" s="411"/>
      <c r="O84" s="133"/>
      <c r="P84" s="355"/>
      <c r="Q84" s="355" t="s">
        <v>6</v>
      </c>
      <c r="R84" s="8"/>
      <c r="S84" s="209"/>
    </row>
    <row r="85" spans="2:19" ht="49.5" hidden="1" customHeight="1" thickBot="1">
      <c r="D85" s="13"/>
      <c r="F85" s="13"/>
      <c r="G85" s="99"/>
      <c r="H85" s="37"/>
      <c r="I85" s="50"/>
      <c r="J85" s="50"/>
      <c r="K85" s="37"/>
      <c r="L85" s="37"/>
      <c r="M85" s="99"/>
      <c r="N85" s="37"/>
      <c r="O85" s="24"/>
      <c r="P85" s="9"/>
      <c r="Q85" s="9"/>
      <c r="R85" s="70"/>
      <c r="S85" s="208"/>
    </row>
    <row r="86" spans="2:19" ht="25.5" hidden="1" customHeight="1">
      <c r="D86" s="77"/>
      <c r="F86" s="173"/>
      <c r="G86" s="382" t="s">
        <v>300</v>
      </c>
      <c r="H86" s="382"/>
      <c r="I86" s="382" t="s">
        <v>145</v>
      </c>
      <c r="J86" s="382"/>
      <c r="K86" s="78"/>
      <c r="L86" s="78"/>
      <c r="M86" s="199"/>
      <c r="N86" s="78"/>
      <c r="O86" s="79"/>
      <c r="P86" s="78"/>
      <c r="Q86" s="80" t="s">
        <v>171</v>
      </c>
      <c r="R86" s="41"/>
      <c r="S86" s="219"/>
    </row>
    <row r="87" spans="2:19" ht="25.5" hidden="1" customHeight="1">
      <c r="D87" s="81"/>
      <c r="F87" s="174"/>
      <c r="G87" s="96"/>
      <c r="H87" s="82"/>
      <c r="I87" s="83"/>
      <c r="J87" s="143" t="s">
        <v>146</v>
      </c>
      <c r="K87" s="144"/>
      <c r="L87" s="144"/>
      <c r="M87" s="200"/>
      <c r="N87" s="144"/>
      <c r="O87" s="135"/>
      <c r="P87" s="144"/>
      <c r="Q87" s="84" t="s">
        <v>292</v>
      </c>
      <c r="R87" s="56"/>
      <c r="S87" s="175"/>
    </row>
    <row r="88" spans="2:19" ht="25.5" hidden="1" customHeight="1" thickBot="1">
      <c r="D88" s="85"/>
      <c r="F88" s="85"/>
      <c r="G88" s="145"/>
      <c r="H88" s="136"/>
      <c r="I88" s="146"/>
      <c r="J88" s="146"/>
      <c r="K88" s="136"/>
      <c r="L88" s="136"/>
      <c r="M88" s="145" t="s">
        <v>183</v>
      </c>
      <c r="N88" s="136"/>
      <c r="O88" s="136"/>
      <c r="P88" s="136"/>
      <c r="Q88" s="86" t="s">
        <v>202</v>
      </c>
      <c r="R88" s="42"/>
      <c r="S88" s="205"/>
    </row>
    <row r="89" spans="2:19" ht="30" hidden="1" customHeight="1">
      <c r="D89" s="385" t="s">
        <v>144</v>
      </c>
      <c r="F89" s="385"/>
      <c r="G89" s="406" t="s">
        <v>63</v>
      </c>
      <c r="H89" s="406"/>
      <c r="I89" s="409" t="s">
        <v>170</v>
      </c>
      <c r="J89" s="409"/>
      <c r="K89" s="401" t="s">
        <v>2</v>
      </c>
      <c r="L89" s="401"/>
      <c r="M89" s="401" t="s">
        <v>169</v>
      </c>
      <c r="N89" s="401"/>
      <c r="O89" s="426" t="s">
        <v>139</v>
      </c>
      <c r="P89" s="401" t="s">
        <v>1</v>
      </c>
      <c r="Q89" s="401" t="s">
        <v>138</v>
      </c>
      <c r="R89" s="63"/>
      <c r="S89" s="424" t="s">
        <v>0</v>
      </c>
    </row>
    <row r="90" spans="2:19" ht="30" hidden="1" customHeight="1">
      <c r="D90" s="386"/>
      <c r="F90" s="386"/>
      <c r="G90" s="97" t="s">
        <v>143</v>
      </c>
      <c r="H90" s="49" t="s">
        <v>142</v>
      </c>
      <c r="I90" s="49" t="s">
        <v>143</v>
      </c>
      <c r="J90" s="49" t="s">
        <v>142</v>
      </c>
      <c r="K90" s="357" t="s">
        <v>4</v>
      </c>
      <c r="L90" s="357" t="s">
        <v>3</v>
      </c>
      <c r="M90" s="100" t="s">
        <v>141</v>
      </c>
      <c r="N90" s="357" t="s">
        <v>140</v>
      </c>
      <c r="O90" s="427"/>
      <c r="P90" s="422"/>
      <c r="Q90" s="422"/>
      <c r="R90" s="63"/>
      <c r="S90" s="425"/>
    </row>
    <row r="91" spans="2:19" ht="31.5" hidden="1" customHeight="1">
      <c r="D91" s="20">
        <v>7265</v>
      </c>
      <c r="F91" s="20"/>
      <c r="G91" s="100">
        <f>H91*O91</f>
        <v>58410600</v>
      </c>
      <c r="H91" s="357">
        <v>7265</v>
      </c>
      <c r="I91" s="40">
        <f>J91*O91</f>
        <v>3770760</v>
      </c>
      <c r="J91" s="49">
        <f>H91-N91</f>
        <v>469</v>
      </c>
      <c r="K91" s="4"/>
      <c r="L91" s="4"/>
      <c r="M91" s="191">
        <f>N91*O91</f>
        <v>54639840</v>
      </c>
      <c r="N91" s="4">
        <v>6796</v>
      </c>
      <c r="O91" s="359">
        <v>8040</v>
      </c>
      <c r="P91" s="4" t="s">
        <v>48</v>
      </c>
      <c r="Q91" s="6" t="s">
        <v>94</v>
      </c>
      <c r="R91" s="63" t="s">
        <v>158</v>
      </c>
      <c r="S91" s="36" t="s">
        <v>91</v>
      </c>
    </row>
    <row r="92" spans="2:19" ht="31.5" hidden="1" customHeight="1">
      <c r="D92" s="20">
        <v>53957.8</v>
      </c>
      <c r="F92" s="20"/>
      <c r="G92" s="100">
        <f>H92*O92</f>
        <v>349637805.00666648</v>
      </c>
      <c r="H92" s="267">
        <v>54974.497642557624</v>
      </c>
      <c r="I92" s="40">
        <f>J92*O92</f>
        <v>17779365.006666489</v>
      </c>
      <c r="J92" s="49">
        <f>H92-N92</f>
        <v>2795.4976425576242</v>
      </c>
      <c r="K92" s="4"/>
      <c r="L92" s="4"/>
      <c r="M92" s="191">
        <f>N92*O92</f>
        <v>331858440</v>
      </c>
      <c r="N92" s="4">
        <v>52179</v>
      </c>
      <c r="O92" s="359">
        <v>6360</v>
      </c>
      <c r="P92" s="4" t="s">
        <v>48</v>
      </c>
      <c r="Q92" s="6" t="s">
        <v>95</v>
      </c>
      <c r="R92" s="63" t="s">
        <v>158</v>
      </c>
      <c r="S92" s="36" t="s">
        <v>92</v>
      </c>
    </row>
    <row r="93" spans="2:19" ht="31.5" hidden="1" customHeight="1">
      <c r="B93" s="259" t="s">
        <v>263</v>
      </c>
      <c r="D93" s="20">
        <v>27030.59</v>
      </c>
      <c r="F93" s="20"/>
      <c r="G93" s="100">
        <f>H93*O93</f>
        <v>171782280</v>
      </c>
      <c r="H93" s="223">
        <v>28069</v>
      </c>
      <c r="I93" s="40">
        <f>J93*O93</f>
        <v>171782280</v>
      </c>
      <c r="J93" s="49">
        <f>H93-N93</f>
        <v>28069</v>
      </c>
      <c r="K93" s="4"/>
      <c r="L93" s="4"/>
      <c r="M93" s="191">
        <f>N93*O93</f>
        <v>0</v>
      </c>
      <c r="N93" s="4"/>
      <c r="O93" s="359">
        <v>6120</v>
      </c>
      <c r="P93" s="4" t="s">
        <v>48</v>
      </c>
      <c r="Q93" s="4" t="s">
        <v>96</v>
      </c>
      <c r="R93" s="63" t="s">
        <v>158</v>
      </c>
      <c r="S93" s="36" t="s">
        <v>93</v>
      </c>
    </row>
    <row r="94" spans="2:19" ht="31.5" hidden="1" customHeight="1">
      <c r="D94" s="20"/>
      <c r="F94" s="20"/>
      <c r="G94" s="100">
        <f>H94*O94</f>
        <v>0</v>
      </c>
      <c r="H94" s="357"/>
      <c r="I94" s="40">
        <f>J94*O94</f>
        <v>0</v>
      </c>
      <c r="J94" s="49">
        <f>H94-N94</f>
        <v>0</v>
      </c>
      <c r="K94" s="4"/>
      <c r="L94" s="4"/>
      <c r="M94" s="191">
        <f>N94*O94</f>
        <v>0</v>
      </c>
      <c r="N94" s="4"/>
      <c r="O94" s="359">
        <v>325</v>
      </c>
      <c r="P94" s="4" t="s">
        <v>48</v>
      </c>
      <c r="Q94" s="4" t="s">
        <v>118</v>
      </c>
      <c r="R94" s="63" t="s">
        <v>158</v>
      </c>
      <c r="S94" s="36" t="s">
        <v>117</v>
      </c>
    </row>
    <row r="95" spans="2:19" ht="31.5" hidden="1" customHeight="1">
      <c r="D95" s="20"/>
      <c r="F95" s="20"/>
      <c r="G95" s="100">
        <f>H95*O95</f>
        <v>0</v>
      </c>
      <c r="H95" s="357"/>
      <c r="I95" s="40">
        <f>J95*O95</f>
        <v>0</v>
      </c>
      <c r="J95" s="49">
        <f>H95-N95</f>
        <v>0</v>
      </c>
      <c r="K95" s="4"/>
      <c r="L95" s="4"/>
      <c r="M95" s="191">
        <f>N95*O95</f>
        <v>0</v>
      </c>
      <c r="N95" s="4"/>
      <c r="O95" s="359">
        <v>12600</v>
      </c>
      <c r="P95" s="4" t="s">
        <v>48</v>
      </c>
      <c r="Q95" s="45" t="s">
        <v>135</v>
      </c>
      <c r="R95" s="63" t="s">
        <v>158</v>
      </c>
      <c r="S95" s="36" t="s">
        <v>134</v>
      </c>
    </row>
    <row r="96" spans="2:19" ht="31.5" hidden="1" customHeight="1" thickBot="1">
      <c r="D96" s="57"/>
      <c r="F96" s="57"/>
      <c r="G96" s="414">
        <f>SUM(G91:G95)</f>
        <v>579830685.00666642</v>
      </c>
      <c r="H96" s="415"/>
      <c r="I96" s="430">
        <f>SUM(I91:I95)</f>
        <v>193332405.00666648</v>
      </c>
      <c r="J96" s="430"/>
      <c r="K96" s="423">
        <f>SUM(K91:K95)</f>
        <v>0</v>
      </c>
      <c r="L96" s="423"/>
      <c r="M96" s="423">
        <f>SUM(M91:M95)</f>
        <v>386498280</v>
      </c>
      <c r="N96" s="423"/>
      <c r="O96" s="423"/>
      <c r="P96" s="423"/>
      <c r="Q96" s="164" t="s">
        <v>7</v>
      </c>
      <c r="R96" s="165"/>
      <c r="S96" s="213"/>
    </row>
    <row r="97" spans="2:20" ht="27.75" hidden="1" customHeight="1">
      <c r="D97" s="186"/>
      <c r="F97" s="186"/>
      <c r="G97" s="187"/>
      <c r="H97" s="188"/>
      <c r="I97" s="189"/>
      <c r="J97" s="189"/>
      <c r="K97" s="188"/>
      <c r="L97" s="188"/>
      <c r="M97" s="201" t="s">
        <v>183</v>
      </c>
      <c r="N97" s="188"/>
      <c r="O97" s="190"/>
      <c r="P97" s="188"/>
      <c r="Q97" s="188" t="s">
        <v>8</v>
      </c>
      <c r="R97" s="188"/>
      <c r="S97" s="215"/>
    </row>
    <row r="98" spans="2:20" ht="28.5" hidden="1" customHeight="1">
      <c r="D98" s="5">
        <v>650</v>
      </c>
      <c r="F98" s="5"/>
      <c r="G98" s="191">
        <f>H98*O98</f>
        <v>11505000</v>
      </c>
      <c r="H98" s="357">
        <v>650</v>
      </c>
      <c r="I98" s="40">
        <f>J98*O98</f>
        <v>11505000</v>
      </c>
      <c r="J98" s="49">
        <f>H98-N98</f>
        <v>650</v>
      </c>
      <c r="K98" s="6"/>
      <c r="L98" s="4"/>
      <c r="M98" s="191"/>
      <c r="N98" s="4"/>
      <c r="O98" s="359">
        <v>17700</v>
      </c>
      <c r="P98" s="6" t="s">
        <v>48</v>
      </c>
      <c r="Q98" s="45" t="s">
        <v>250</v>
      </c>
      <c r="R98" s="6" t="s">
        <v>158</v>
      </c>
      <c r="S98" s="358" t="s">
        <v>249</v>
      </c>
    </row>
    <row r="99" spans="2:20" ht="28.5" hidden="1" customHeight="1">
      <c r="D99" s="5"/>
      <c r="F99" s="5"/>
      <c r="G99" s="191">
        <f>H99*O99</f>
        <v>0</v>
      </c>
      <c r="H99" s="357"/>
      <c r="I99" s="40">
        <f>J99*O99</f>
        <v>0</v>
      </c>
      <c r="J99" s="49">
        <f>H99-N99</f>
        <v>0</v>
      </c>
      <c r="K99" s="6"/>
      <c r="L99" s="4"/>
      <c r="M99" s="191"/>
      <c r="N99" s="4"/>
      <c r="O99" s="359">
        <v>12500</v>
      </c>
      <c r="P99" s="6" t="s">
        <v>48</v>
      </c>
      <c r="Q99" s="45" t="s">
        <v>119</v>
      </c>
      <c r="R99" s="6" t="s">
        <v>158</v>
      </c>
      <c r="S99" s="207">
        <v>110301</v>
      </c>
      <c r="T99" s="27"/>
    </row>
    <row r="100" spans="2:20" ht="28.5" hidden="1" customHeight="1" thickBot="1">
      <c r="D100" s="185">
        <v>1220</v>
      </c>
      <c r="F100" s="185"/>
      <c r="G100" s="191">
        <f>H100*O100</f>
        <v>54900000</v>
      </c>
      <c r="H100" s="43">
        <v>1220</v>
      </c>
      <c r="I100" s="40">
        <f>J100*O100</f>
        <v>900000</v>
      </c>
      <c r="J100" s="49">
        <f>H100-N100</f>
        <v>20</v>
      </c>
      <c r="K100" s="8"/>
      <c r="L100" s="15"/>
      <c r="M100" s="197">
        <f>N100*O100</f>
        <v>54000000</v>
      </c>
      <c r="N100" s="15">
        <v>1200</v>
      </c>
      <c r="O100" s="23">
        <v>45000</v>
      </c>
      <c r="P100" s="8" t="s">
        <v>48</v>
      </c>
      <c r="Q100" s="198" t="s">
        <v>233</v>
      </c>
      <c r="R100" s="8" t="s">
        <v>159</v>
      </c>
      <c r="S100" s="209">
        <v>110304</v>
      </c>
      <c r="T100" s="27"/>
    </row>
    <row r="101" spans="2:20" ht="28.5" hidden="1" customHeight="1" thickBot="1">
      <c r="D101" s="193"/>
      <c r="F101" s="193"/>
      <c r="G101" s="404">
        <f>SUM(G98:G100)</f>
        <v>66405000</v>
      </c>
      <c r="H101" s="405"/>
      <c r="I101" s="410">
        <f>SUM(I98:I100)</f>
        <v>12405000</v>
      </c>
      <c r="J101" s="410"/>
      <c r="K101" s="431">
        <f>SUM(K98:K100)</f>
        <v>0</v>
      </c>
      <c r="L101" s="431"/>
      <c r="M101" s="431">
        <f>SUM(M98:M100)</f>
        <v>54000000</v>
      </c>
      <c r="N101" s="431"/>
      <c r="O101" s="195"/>
      <c r="P101" s="362"/>
      <c r="Q101" s="362" t="s">
        <v>10</v>
      </c>
      <c r="R101" s="196"/>
      <c r="S101" s="216"/>
    </row>
    <row r="102" spans="2:20" ht="49.5" hidden="1" customHeight="1" thickBot="1">
      <c r="G102" s="101"/>
      <c r="H102" s="17"/>
      <c r="I102" s="52"/>
      <c r="J102" s="52"/>
      <c r="K102" s="17"/>
      <c r="L102" s="17"/>
      <c r="M102" s="101"/>
      <c r="N102" s="17"/>
      <c r="O102" s="24"/>
      <c r="P102" s="17"/>
      <c r="Q102" s="18"/>
      <c r="R102" s="18"/>
      <c r="S102" s="210"/>
    </row>
    <row r="103" spans="2:20" ht="25.5" hidden="1" customHeight="1">
      <c r="D103" s="77"/>
      <c r="F103" s="173"/>
      <c r="G103" s="382" t="s">
        <v>300</v>
      </c>
      <c r="H103" s="382"/>
      <c r="I103" s="382" t="s">
        <v>145</v>
      </c>
      <c r="J103" s="382"/>
      <c r="K103" s="78"/>
      <c r="L103" s="78"/>
      <c r="M103" s="199"/>
      <c r="N103" s="78"/>
      <c r="O103" s="79"/>
      <c r="P103" s="78"/>
      <c r="Q103" s="80" t="s">
        <v>171</v>
      </c>
      <c r="R103" s="41"/>
      <c r="S103" s="219"/>
    </row>
    <row r="104" spans="2:20" ht="25.5" hidden="1" customHeight="1">
      <c r="D104" s="81"/>
      <c r="F104" s="174"/>
      <c r="G104" s="96"/>
      <c r="H104" s="82"/>
      <c r="I104" s="83"/>
      <c r="J104" s="143" t="s">
        <v>146</v>
      </c>
      <c r="K104" s="144"/>
      <c r="L104" s="144"/>
      <c r="M104" s="200"/>
      <c r="N104" s="144"/>
      <c r="O104" s="135"/>
      <c r="P104" s="144"/>
      <c r="Q104" s="84" t="s">
        <v>292</v>
      </c>
      <c r="R104" s="56"/>
      <c r="S104" s="175"/>
    </row>
    <row r="105" spans="2:20" ht="25.5" hidden="1" customHeight="1" thickBot="1">
      <c r="D105" s="85"/>
      <c r="F105" s="85"/>
      <c r="G105" s="145"/>
      <c r="H105" s="136"/>
      <c r="I105" s="146"/>
      <c r="J105" s="146"/>
      <c r="K105" s="136"/>
      <c r="L105" s="136"/>
      <c r="M105" s="202" t="s">
        <v>183</v>
      </c>
      <c r="N105" s="136"/>
      <c r="O105" s="136"/>
      <c r="P105" s="136"/>
      <c r="Q105" s="86" t="s">
        <v>206</v>
      </c>
      <c r="R105" s="42"/>
      <c r="S105" s="205"/>
    </row>
    <row r="106" spans="2:20" ht="30" hidden="1" customHeight="1">
      <c r="D106" s="385" t="s">
        <v>144</v>
      </c>
      <c r="F106" s="385" t="s">
        <v>144</v>
      </c>
      <c r="G106" s="406" t="s">
        <v>63</v>
      </c>
      <c r="H106" s="406"/>
      <c r="I106" s="409" t="s">
        <v>170</v>
      </c>
      <c r="J106" s="409"/>
      <c r="K106" s="401" t="s">
        <v>2</v>
      </c>
      <c r="L106" s="401"/>
      <c r="M106" s="401" t="s">
        <v>169</v>
      </c>
      <c r="N106" s="401"/>
      <c r="O106" s="426" t="s">
        <v>139</v>
      </c>
      <c r="P106" s="401" t="s">
        <v>1</v>
      </c>
      <c r="Q106" s="401" t="s">
        <v>138</v>
      </c>
      <c r="R106" s="352"/>
      <c r="S106" s="424" t="s">
        <v>0</v>
      </c>
    </row>
    <row r="107" spans="2:20" ht="30" hidden="1" customHeight="1">
      <c r="D107" s="386"/>
      <c r="F107" s="386"/>
      <c r="G107" s="97" t="s">
        <v>143</v>
      </c>
      <c r="H107" s="49" t="s">
        <v>142</v>
      </c>
      <c r="I107" s="49" t="s">
        <v>143</v>
      </c>
      <c r="J107" s="49" t="s">
        <v>142</v>
      </c>
      <c r="K107" s="357" t="s">
        <v>4</v>
      </c>
      <c r="L107" s="357" t="s">
        <v>3</v>
      </c>
      <c r="M107" s="100" t="s">
        <v>141</v>
      </c>
      <c r="N107" s="357" t="s">
        <v>140</v>
      </c>
      <c r="O107" s="427"/>
      <c r="P107" s="422"/>
      <c r="Q107" s="422"/>
      <c r="R107" s="2"/>
      <c r="S107" s="425"/>
    </row>
    <row r="108" spans="2:20" ht="30" hidden="1" customHeight="1">
      <c r="D108" s="351"/>
      <c r="F108" s="351"/>
      <c r="G108" s="100">
        <f>H108*O108</f>
        <v>0</v>
      </c>
      <c r="H108" s="49"/>
      <c r="I108" s="40">
        <f>J108*O108</f>
        <v>0</v>
      </c>
      <c r="J108" s="49">
        <f>H108-N108</f>
        <v>0</v>
      </c>
      <c r="K108" s="357"/>
      <c r="L108" s="357"/>
      <c r="M108" s="191">
        <f>N108*O108</f>
        <v>0</v>
      </c>
      <c r="N108" s="357"/>
      <c r="O108" s="359">
        <v>220000</v>
      </c>
      <c r="P108" s="6" t="s">
        <v>35</v>
      </c>
      <c r="Q108" s="45" t="s">
        <v>219</v>
      </c>
      <c r="R108" s="2"/>
      <c r="S108" s="358" t="s">
        <v>218</v>
      </c>
    </row>
    <row r="109" spans="2:20" ht="39" hidden="1" customHeight="1">
      <c r="D109" s="20"/>
      <c r="F109" s="20"/>
      <c r="G109" s="100">
        <f t="shared" ref="G109:G124" si="19">H109*O109</f>
        <v>0</v>
      </c>
      <c r="H109" s="357"/>
      <c r="I109" s="40">
        <f t="shared" ref="I109:I124" si="20">J109*O109</f>
        <v>0</v>
      </c>
      <c r="J109" s="49">
        <f t="shared" ref="J109:J124" si="21">H109-N109</f>
        <v>0</v>
      </c>
      <c r="K109" s="6"/>
      <c r="L109" s="6"/>
      <c r="M109" s="191">
        <f t="shared" ref="M109:M124" si="22">N109*O109</f>
        <v>0</v>
      </c>
      <c r="N109" s="6"/>
      <c r="O109" s="359">
        <v>249500</v>
      </c>
      <c r="P109" s="6" t="s">
        <v>35</v>
      </c>
      <c r="Q109" s="45" t="s">
        <v>182</v>
      </c>
      <c r="R109" s="66" t="s">
        <v>158</v>
      </c>
      <c r="S109" s="358">
        <v>120103</v>
      </c>
    </row>
    <row r="110" spans="2:20" ht="39" hidden="1" customHeight="1">
      <c r="B110" s="259">
        <v>893</v>
      </c>
      <c r="C110" s="3">
        <v>2150</v>
      </c>
      <c r="D110" s="20">
        <v>416.5</v>
      </c>
      <c r="F110" s="20"/>
      <c r="G110" s="100">
        <f t="shared" si="19"/>
        <v>970249500</v>
      </c>
      <c r="H110" s="357">
        <f>416+2150+893</f>
        <v>3459</v>
      </c>
      <c r="I110" s="40">
        <f t="shared" si="20"/>
        <v>754264500</v>
      </c>
      <c r="J110" s="49">
        <f t="shared" si="21"/>
        <v>2689</v>
      </c>
      <c r="K110" s="6"/>
      <c r="L110" s="6"/>
      <c r="M110" s="191">
        <f t="shared" si="22"/>
        <v>215985000</v>
      </c>
      <c r="N110" s="6">
        <v>770</v>
      </c>
      <c r="O110" s="359">
        <v>280500</v>
      </c>
      <c r="P110" s="6" t="s">
        <v>35</v>
      </c>
      <c r="Q110" s="46" t="s">
        <v>120</v>
      </c>
      <c r="R110" s="66" t="s">
        <v>158</v>
      </c>
      <c r="S110" s="358">
        <v>120104</v>
      </c>
    </row>
    <row r="111" spans="2:20" ht="39" hidden="1" customHeight="1">
      <c r="D111" s="20">
        <v>92.36</v>
      </c>
      <c r="F111" s="20"/>
      <c r="G111" s="100">
        <f t="shared" si="19"/>
        <v>31096000</v>
      </c>
      <c r="H111" s="357">
        <v>92</v>
      </c>
      <c r="I111" s="40">
        <f t="shared" si="20"/>
        <v>0</v>
      </c>
      <c r="J111" s="49">
        <f t="shared" si="21"/>
        <v>0</v>
      </c>
      <c r="K111" s="6"/>
      <c r="L111" s="6"/>
      <c r="M111" s="191">
        <f t="shared" si="22"/>
        <v>31096000</v>
      </c>
      <c r="N111" s="4">
        <v>92</v>
      </c>
      <c r="O111" s="359">
        <v>338000</v>
      </c>
      <c r="P111" s="6" t="s">
        <v>35</v>
      </c>
      <c r="Q111" s="46" t="s">
        <v>51</v>
      </c>
      <c r="R111" s="66" t="s">
        <v>158</v>
      </c>
      <c r="S111" s="207" t="s">
        <v>49</v>
      </c>
    </row>
    <row r="112" spans="2:20" ht="39" hidden="1" customHeight="1">
      <c r="D112" s="20">
        <v>708.39</v>
      </c>
      <c r="F112" s="20"/>
      <c r="G112" s="100">
        <f t="shared" si="19"/>
        <v>258774000</v>
      </c>
      <c r="H112" s="357">
        <v>708</v>
      </c>
      <c r="I112" s="40">
        <f t="shared" si="20"/>
        <v>-17909500</v>
      </c>
      <c r="J112" s="49">
        <f t="shared" si="21"/>
        <v>-49</v>
      </c>
      <c r="K112" s="6"/>
      <c r="L112" s="6"/>
      <c r="M112" s="191">
        <f t="shared" si="22"/>
        <v>276683500</v>
      </c>
      <c r="N112" s="4">
        <v>757</v>
      </c>
      <c r="O112" s="359">
        <v>365500</v>
      </c>
      <c r="P112" s="6" t="s">
        <v>35</v>
      </c>
      <c r="Q112" s="46" t="s">
        <v>160</v>
      </c>
      <c r="R112" s="66" t="s">
        <v>158</v>
      </c>
      <c r="S112" s="207">
        <v>120107</v>
      </c>
    </row>
    <row r="113" spans="2:19" ht="39" hidden="1" customHeight="1">
      <c r="D113" s="20"/>
      <c r="F113" s="20"/>
      <c r="G113" s="100">
        <f t="shared" si="19"/>
        <v>0</v>
      </c>
      <c r="H113" s="357"/>
      <c r="I113" s="40">
        <f t="shared" si="20"/>
        <v>0</v>
      </c>
      <c r="J113" s="49">
        <f t="shared" si="21"/>
        <v>0</v>
      </c>
      <c r="K113" s="6"/>
      <c r="L113" s="6"/>
      <c r="M113" s="191">
        <f t="shared" si="22"/>
        <v>0</v>
      </c>
      <c r="N113" s="4"/>
      <c r="O113" s="359">
        <v>25400</v>
      </c>
      <c r="P113" s="6" t="s">
        <v>35</v>
      </c>
      <c r="Q113" s="46" t="s">
        <v>161</v>
      </c>
      <c r="R113" s="66" t="s">
        <v>158</v>
      </c>
      <c r="S113" s="207">
        <v>120110</v>
      </c>
    </row>
    <row r="114" spans="2:19" ht="39" hidden="1" customHeight="1">
      <c r="C114" s="3">
        <v>1800</v>
      </c>
      <c r="D114" s="20">
        <v>118.37</v>
      </c>
      <c r="F114" s="20"/>
      <c r="G114" s="100">
        <f t="shared" si="19"/>
        <v>37796000</v>
      </c>
      <c r="H114" s="357">
        <f>118+1600</f>
        <v>1718</v>
      </c>
      <c r="I114" s="40">
        <f t="shared" si="20"/>
        <v>18832000</v>
      </c>
      <c r="J114" s="49">
        <f t="shared" si="21"/>
        <v>856</v>
      </c>
      <c r="K114" s="6"/>
      <c r="L114" s="6"/>
      <c r="M114" s="191">
        <f t="shared" si="22"/>
        <v>18964000</v>
      </c>
      <c r="N114" s="4">
        <v>862</v>
      </c>
      <c r="O114" s="359">
        <v>22000</v>
      </c>
      <c r="P114" s="6" t="s">
        <v>35</v>
      </c>
      <c r="Q114" s="46" t="s">
        <v>121</v>
      </c>
      <c r="R114" s="66" t="s">
        <v>158</v>
      </c>
      <c r="S114" s="207">
        <v>120302</v>
      </c>
    </row>
    <row r="115" spans="2:19" ht="39" hidden="1" customHeight="1">
      <c r="C115" s="3">
        <f>2300-1800</f>
        <v>500</v>
      </c>
      <c r="D115" s="20">
        <v>709.89</v>
      </c>
      <c r="F115" s="20"/>
      <c r="G115" s="100">
        <f t="shared" si="19"/>
        <v>45469000</v>
      </c>
      <c r="H115" s="357">
        <f>709+400</f>
        <v>1109</v>
      </c>
      <c r="I115" s="40">
        <f t="shared" si="20"/>
        <v>14432000</v>
      </c>
      <c r="J115" s="49">
        <f t="shared" si="21"/>
        <v>352</v>
      </c>
      <c r="K115" s="6"/>
      <c r="L115" s="6"/>
      <c r="M115" s="191">
        <f t="shared" si="22"/>
        <v>31037000</v>
      </c>
      <c r="N115" s="4">
        <v>757</v>
      </c>
      <c r="O115" s="359">
        <v>41000</v>
      </c>
      <c r="P115" s="6" t="s">
        <v>35</v>
      </c>
      <c r="Q115" s="46" t="s">
        <v>122</v>
      </c>
      <c r="R115" s="66" t="s">
        <v>158</v>
      </c>
      <c r="S115" s="207">
        <v>120303</v>
      </c>
    </row>
    <row r="116" spans="2:19" ht="39" hidden="1" customHeight="1">
      <c r="D116" s="20"/>
      <c r="F116" s="20"/>
      <c r="G116" s="100">
        <f t="shared" si="19"/>
        <v>0</v>
      </c>
      <c r="H116" s="357"/>
      <c r="I116" s="40">
        <f t="shared" si="20"/>
        <v>0</v>
      </c>
      <c r="J116" s="49">
        <f t="shared" si="21"/>
        <v>0</v>
      </c>
      <c r="K116" s="6"/>
      <c r="L116" s="6"/>
      <c r="M116" s="191">
        <f t="shared" si="22"/>
        <v>0</v>
      </c>
      <c r="N116" s="4"/>
      <c r="O116" s="108">
        <v>29300</v>
      </c>
      <c r="P116" s="6" t="s">
        <v>35</v>
      </c>
      <c r="Q116" s="46" t="s">
        <v>123</v>
      </c>
      <c r="R116" s="66" t="s">
        <v>158</v>
      </c>
      <c r="S116" s="207">
        <v>120305</v>
      </c>
    </row>
    <row r="117" spans="2:19" ht="39" hidden="1" customHeight="1">
      <c r="D117" s="20"/>
      <c r="F117" s="20"/>
      <c r="G117" s="100">
        <f t="shared" si="19"/>
        <v>0</v>
      </c>
      <c r="H117" s="357"/>
      <c r="I117" s="40">
        <f t="shared" si="20"/>
        <v>0</v>
      </c>
      <c r="J117" s="49">
        <f t="shared" si="21"/>
        <v>0</v>
      </c>
      <c r="K117" s="6"/>
      <c r="L117" s="6"/>
      <c r="M117" s="191">
        <f t="shared" si="22"/>
        <v>0</v>
      </c>
      <c r="N117" s="4"/>
      <c r="O117" s="359">
        <v>26400</v>
      </c>
      <c r="P117" s="6" t="s">
        <v>35</v>
      </c>
      <c r="Q117" s="46" t="s">
        <v>124</v>
      </c>
      <c r="R117" s="66" t="s">
        <v>158</v>
      </c>
      <c r="S117" s="207">
        <v>120307</v>
      </c>
    </row>
    <row r="118" spans="2:19" ht="39" hidden="1" customHeight="1">
      <c r="D118" s="20">
        <v>800.75</v>
      </c>
      <c r="F118" s="20"/>
      <c r="G118" s="100">
        <f t="shared" si="19"/>
        <v>4416000</v>
      </c>
      <c r="H118" s="203">
        <v>800</v>
      </c>
      <c r="I118" s="40">
        <f t="shared" si="20"/>
        <v>-270480</v>
      </c>
      <c r="J118" s="49">
        <f t="shared" si="21"/>
        <v>-49</v>
      </c>
      <c r="K118" s="6"/>
      <c r="L118" s="6"/>
      <c r="M118" s="191">
        <f t="shared" si="22"/>
        <v>4686480</v>
      </c>
      <c r="N118" s="4">
        <v>849</v>
      </c>
      <c r="O118" s="359">
        <v>5520</v>
      </c>
      <c r="P118" s="6" t="s">
        <v>35</v>
      </c>
      <c r="Q118" s="46" t="s">
        <v>52</v>
      </c>
      <c r="R118" s="66" t="s">
        <v>158</v>
      </c>
      <c r="S118" s="207" t="s">
        <v>50</v>
      </c>
    </row>
    <row r="119" spans="2:19" ht="39" hidden="1" customHeight="1">
      <c r="B119" s="259" t="s">
        <v>270</v>
      </c>
      <c r="C119" s="3" t="s">
        <v>296</v>
      </c>
      <c r="D119" s="110"/>
      <c r="F119" s="110"/>
      <c r="G119" s="100">
        <f t="shared" si="19"/>
        <v>12172000</v>
      </c>
      <c r="H119" s="357">
        <f>2150*250+223250</f>
        <v>760750</v>
      </c>
      <c r="I119" s="40">
        <f t="shared" si="20"/>
        <v>12172000</v>
      </c>
      <c r="J119" s="49">
        <f t="shared" si="21"/>
        <v>760750</v>
      </c>
      <c r="K119" s="6"/>
      <c r="L119" s="6"/>
      <c r="M119" s="191">
        <f t="shared" si="22"/>
        <v>0</v>
      </c>
      <c r="N119" s="4"/>
      <c r="O119" s="359">
        <v>16</v>
      </c>
      <c r="P119" s="6" t="s">
        <v>48</v>
      </c>
      <c r="Q119" s="46" t="s">
        <v>162</v>
      </c>
      <c r="R119" s="66" t="s">
        <v>158</v>
      </c>
      <c r="S119" s="207">
        <v>120701</v>
      </c>
    </row>
    <row r="120" spans="2:19" ht="39" hidden="1" customHeight="1">
      <c r="D120" s="110">
        <v>413319.5</v>
      </c>
      <c r="F120" s="110"/>
      <c r="G120" s="100">
        <f t="shared" si="19"/>
        <v>13226208</v>
      </c>
      <c r="H120" s="357">
        <v>413319</v>
      </c>
      <c r="I120" s="40">
        <f t="shared" si="20"/>
        <v>-3653792</v>
      </c>
      <c r="J120" s="49">
        <f t="shared" si="21"/>
        <v>-114181</v>
      </c>
      <c r="K120" s="6"/>
      <c r="L120" s="6"/>
      <c r="M120" s="191">
        <f t="shared" si="22"/>
        <v>16880000</v>
      </c>
      <c r="N120" s="4">
        <v>527500</v>
      </c>
      <c r="O120" s="359">
        <v>32</v>
      </c>
      <c r="P120" s="6" t="s">
        <v>48</v>
      </c>
      <c r="Q120" s="45" t="s">
        <v>235</v>
      </c>
      <c r="R120" s="66" t="s">
        <v>158</v>
      </c>
      <c r="S120" s="358" t="s">
        <v>234</v>
      </c>
    </row>
    <row r="121" spans="2:19" ht="39" hidden="1" customHeight="1">
      <c r="D121" s="110">
        <v>11000</v>
      </c>
      <c r="F121" s="110"/>
      <c r="G121" s="100">
        <f t="shared" si="19"/>
        <v>6545000</v>
      </c>
      <c r="H121" s="357">
        <v>11000</v>
      </c>
      <c r="I121" s="40">
        <f t="shared" si="20"/>
        <v>6545000</v>
      </c>
      <c r="J121" s="49">
        <f t="shared" si="21"/>
        <v>11000</v>
      </c>
      <c r="K121" s="6"/>
      <c r="L121" s="6"/>
      <c r="M121" s="191">
        <f t="shared" si="22"/>
        <v>0</v>
      </c>
      <c r="N121" s="4"/>
      <c r="O121" s="169">
        <v>595</v>
      </c>
      <c r="P121" s="166" t="s">
        <v>204</v>
      </c>
      <c r="Q121" s="167" t="s">
        <v>205</v>
      </c>
      <c r="R121" s="66" t="s">
        <v>158</v>
      </c>
      <c r="S121" s="207">
        <v>120703</v>
      </c>
    </row>
    <row r="122" spans="2:19" ht="39" hidden="1" customHeight="1">
      <c r="B122" s="259" t="s">
        <v>271</v>
      </c>
      <c r="C122" s="3" t="s">
        <v>297</v>
      </c>
      <c r="D122" s="57">
        <v>17156.169999999998</v>
      </c>
      <c r="F122" s="57"/>
      <c r="G122" s="100">
        <f t="shared" si="19"/>
        <v>100991020</v>
      </c>
      <c r="H122" s="58">
        <f>17156+2150*14+893*14</f>
        <v>59758</v>
      </c>
      <c r="I122" s="40">
        <f t="shared" si="20"/>
        <v>62413390</v>
      </c>
      <c r="J122" s="49">
        <f t="shared" si="21"/>
        <v>36931</v>
      </c>
      <c r="K122" s="7"/>
      <c r="L122" s="59"/>
      <c r="M122" s="191">
        <f t="shared" si="22"/>
        <v>38577630</v>
      </c>
      <c r="N122" s="168">
        <v>22827</v>
      </c>
      <c r="O122" s="60">
        <v>1690</v>
      </c>
      <c r="P122" s="4" t="s">
        <v>44</v>
      </c>
      <c r="Q122" s="74" t="s">
        <v>163</v>
      </c>
      <c r="R122" s="66" t="s">
        <v>158</v>
      </c>
      <c r="S122" s="213">
        <v>120801</v>
      </c>
    </row>
    <row r="123" spans="2:19" ht="39" hidden="1" customHeight="1">
      <c r="B123" s="259" t="s">
        <v>272</v>
      </c>
      <c r="C123" s="3" t="s">
        <v>298</v>
      </c>
      <c r="D123" s="57">
        <v>19358.900000000001</v>
      </c>
      <c r="F123" s="57"/>
      <c r="G123" s="100">
        <f t="shared" si="19"/>
        <v>53861780</v>
      </c>
      <c r="H123" s="58">
        <f>19358+2150*1.3*9+10448</f>
        <v>54961</v>
      </c>
      <c r="I123" s="40">
        <f t="shared" si="20"/>
        <v>32781980</v>
      </c>
      <c r="J123" s="49">
        <f t="shared" si="21"/>
        <v>33451</v>
      </c>
      <c r="K123" s="7"/>
      <c r="L123" s="59"/>
      <c r="M123" s="191">
        <f t="shared" si="22"/>
        <v>21079800</v>
      </c>
      <c r="N123" s="73">
        <v>21510</v>
      </c>
      <c r="O123" s="60">
        <v>980</v>
      </c>
      <c r="P123" s="4" t="s">
        <v>44</v>
      </c>
      <c r="Q123" s="74" t="s">
        <v>164</v>
      </c>
      <c r="R123" s="66" t="s">
        <v>158</v>
      </c>
      <c r="S123" s="213">
        <v>121001</v>
      </c>
    </row>
    <row r="124" spans="2:19" ht="39" hidden="1" customHeight="1">
      <c r="B124" s="259" t="s">
        <v>273</v>
      </c>
      <c r="C124" s="266" t="s">
        <v>299</v>
      </c>
      <c r="D124" s="57">
        <v>64529.75</v>
      </c>
      <c r="F124" s="57"/>
      <c r="G124" s="100">
        <f t="shared" si="19"/>
        <v>155725100</v>
      </c>
      <c r="H124" s="58">
        <f>34827+2150*1.3*30+64529</f>
        <v>183206</v>
      </c>
      <c r="I124" s="40">
        <f t="shared" si="20"/>
        <v>94780100</v>
      </c>
      <c r="J124" s="49">
        <f t="shared" si="21"/>
        <v>111506</v>
      </c>
      <c r="K124" s="7"/>
      <c r="L124" s="59"/>
      <c r="M124" s="191">
        <f t="shared" si="22"/>
        <v>60945000</v>
      </c>
      <c r="N124" s="73">
        <v>71700</v>
      </c>
      <c r="O124" s="60">
        <v>850</v>
      </c>
      <c r="P124" s="4" t="s">
        <v>44</v>
      </c>
      <c r="Q124" s="74" t="s">
        <v>165</v>
      </c>
      <c r="R124" s="66" t="s">
        <v>158</v>
      </c>
      <c r="S124" s="213">
        <v>121002</v>
      </c>
    </row>
    <row r="125" spans="2:19" ht="39" hidden="1" customHeight="1" thickBot="1">
      <c r="D125" s="21"/>
      <c r="F125" s="21"/>
      <c r="G125" s="397">
        <f>SUM(G108:G124)</f>
        <v>1690321608</v>
      </c>
      <c r="H125" s="398"/>
      <c r="I125" s="402">
        <f>SUM(I108:I124)</f>
        <v>974387198</v>
      </c>
      <c r="J125" s="402"/>
      <c r="K125" s="400">
        <f>SUM(K109:K121)</f>
        <v>0</v>
      </c>
      <c r="L125" s="400"/>
      <c r="M125" s="400">
        <f>SUM(M108:M124)</f>
        <v>715934410</v>
      </c>
      <c r="N125" s="400"/>
      <c r="O125" s="39"/>
      <c r="P125" s="115"/>
      <c r="Q125" s="115" t="s">
        <v>11</v>
      </c>
      <c r="R125" s="67"/>
      <c r="S125" s="209"/>
    </row>
    <row r="126" spans="2:19" ht="49.5" hidden="1" customHeight="1" thickBot="1">
      <c r="D126" s="13"/>
      <c r="F126" s="13"/>
      <c r="G126" s="99"/>
      <c r="H126" s="37"/>
      <c r="I126" s="50"/>
      <c r="J126" s="50"/>
      <c r="K126" s="44"/>
      <c r="L126" s="44"/>
      <c r="M126" s="99"/>
      <c r="N126" s="37"/>
      <c r="O126" s="24"/>
      <c r="P126" s="17"/>
      <c r="Q126" s="17"/>
      <c r="R126" s="17"/>
      <c r="S126" s="210"/>
    </row>
    <row r="127" spans="2:19" ht="25.5" hidden="1" customHeight="1">
      <c r="D127" s="77"/>
      <c r="F127" s="173"/>
      <c r="G127" s="382" t="s">
        <v>300</v>
      </c>
      <c r="H127" s="382"/>
      <c r="I127" s="382" t="s">
        <v>145</v>
      </c>
      <c r="J127" s="382"/>
      <c r="K127" s="78"/>
      <c r="L127" s="78"/>
      <c r="M127" s="199"/>
      <c r="N127" s="78"/>
      <c r="O127" s="79"/>
      <c r="P127" s="78"/>
      <c r="Q127" s="80" t="s">
        <v>171</v>
      </c>
      <c r="R127" s="41"/>
      <c r="S127" s="219"/>
    </row>
    <row r="128" spans="2:19" ht="25.5" hidden="1" customHeight="1">
      <c r="D128" s="81"/>
      <c r="F128" s="174"/>
      <c r="G128" s="96"/>
      <c r="H128" s="82"/>
      <c r="I128" s="83"/>
      <c r="J128" s="143" t="s">
        <v>146</v>
      </c>
      <c r="K128" s="144"/>
      <c r="L128" s="144"/>
      <c r="M128" s="200"/>
      <c r="N128" s="144"/>
      <c r="O128" s="135"/>
      <c r="P128" s="144"/>
      <c r="Q128" s="84" t="s">
        <v>292</v>
      </c>
      <c r="R128" s="56"/>
      <c r="S128" s="175"/>
    </row>
    <row r="129" spans="2:19" ht="25.5" hidden="1" customHeight="1" thickBot="1">
      <c r="D129" s="85"/>
      <c r="F129" s="85"/>
      <c r="G129" s="145"/>
      <c r="H129" s="136"/>
      <c r="I129" s="146"/>
      <c r="J129" s="146"/>
      <c r="K129" s="136"/>
      <c r="L129" s="136"/>
      <c r="M129" s="202" t="s">
        <v>183</v>
      </c>
      <c r="N129" s="136"/>
      <c r="O129" s="136"/>
      <c r="P129" s="136"/>
      <c r="Q129" s="86" t="s">
        <v>207</v>
      </c>
      <c r="R129" s="42"/>
      <c r="S129" s="205"/>
    </row>
    <row r="130" spans="2:19" ht="30" hidden="1" customHeight="1">
      <c r="D130" s="385" t="s">
        <v>144</v>
      </c>
      <c r="F130" s="385" t="s">
        <v>144</v>
      </c>
      <c r="G130" s="406" t="s">
        <v>63</v>
      </c>
      <c r="H130" s="406"/>
      <c r="I130" s="409" t="s">
        <v>170</v>
      </c>
      <c r="J130" s="409"/>
      <c r="K130" s="401" t="s">
        <v>2</v>
      </c>
      <c r="L130" s="401"/>
      <c r="M130" s="401" t="s">
        <v>169</v>
      </c>
      <c r="N130" s="401"/>
      <c r="O130" s="426" t="s">
        <v>139</v>
      </c>
      <c r="P130" s="401" t="s">
        <v>1</v>
      </c>
      <c r="Q130" s="401" t="s">
        <v>138</v>
      </c>
      <c r="R130" s="352"/>
      <c r="S130" s="424" t="s">
        <v>0</v>
      </c>
    </row>
    <row r="131" spans="2:19" ht="30" hidden="1" customHeight="1">
      <c r="D131" s="386"/>
      <c r="F131" s="386"/>
      <c r="G131" s="97" t="s">
        <v>143</v>
      </c>
      <c r="H131" s="49" t="s">
        <v>142</v>
      </c>
      <c r="I131" s="49" t="s">
        <v>143</v>
      </c>
      <c r="J131" s="49" t="s">
        <v>142</v>
      </c>
      <c r="K131" s="357" t="s">
        <v>4</v>
      </c>
      <c r="L131" s="357" t="s">
        <v>3</v>
      </c>
      <c r="M131" s="100" t="s">
        <v>141</v>
      </c>
      <c r="N131" s="357" t="s">
        <v>140</v>
      </c>
      <c r="O131" s="427"/>
      <c r="P131" s="422"/>
      <c r="Q131" s="422"/>
      <c r="R131" s="2"/>
      <c r="S131" s="425"/>
    </row>
    <row r="132" spans="2:19" ht="35.25" hidden="1" customHeight="1">
      <c r="D132" s="5"/>
      <c r="F132" s="5"/>
      <c r="G132" s="100"/>
      <c r="H132" s="357"/>
      <c r="I132" s="40">
        <f>J132*O132</f>
        <v>-103292000</v>
      </c>
      <c r="J132" s="49">
        <f>H132-N132</f>
        <v>-136</v>
      </c>
      <c r="K132" s="6"/>
      <c r="L132" s="6"/>
      <c r="M132" s="191">
        <f>N132*O132</f>
        <v>103292000</v>
      </c>
      <c r="N132" s="4">
        <v>136</v>
      </c>
      <c r="O132" s="359">
        <v>759500</v>
      </c>
      <c r="P132" s="6" t="s">
        <v>35</v>
      </c>
      <c r="Q132" s="46" t="s">
        <v>110</v>
      </c>
      <c r="R132" s="46" t="s">
        <v>158</v>
      </c>
      <c r="S132" s="207">
        <v>130804</v>
      </c>
    </row>
    <row r="133" spans="2:19" ht="35.25" hidden="1" customHeight="1">
      <c r="D133" s="5"/>
      <c r="F133" s="5"/>
      <c r="G133" s="100"/>
      <c r="H133" s="357"/>
      <c r="I133" s="40">
        <f>J133*O133</f>
        <v>-217550000</v>
      </c>
      <c r="J133" s="49">
        <f>H133-N133</f>
        <v>-380</v>
      </c>
      <c r="K133" s="6"/>
      <c r="L133" s="6"/>
      <c r="M133" s="191">
        <f>N133*O133</f>
        <v>217550000</v>
      </c>
      <c r="N133" s="4">
        <v>380</v>
      </c>
      <c r="O133" s="359">
        <v>572500</v>
      </c>
      <c r="P133" s="6" t="s">
        <v>35</v>
      </c>
      <c r="Q133" s="45" t="s">
        <v>237</v>
      </c>
      <c r="R133" s="46" t="s">
        <v>158</v>
      </c>
      <c r="S133" s="358" t="s">
        <v>236</v>
      </c>
    </row>
    <row r="134" spans="2:19" ht="35.25" hidden="1" customHeight="1">
      <c r="D134" s="5"/>
      <c r="F134" s="5"/>
      <c r="G134" s="100">
        <f>H134*O134</f>
        <v>7986000</v>
      </c>
      <c r="H134" s="357">
        <v>44</v>
      </c>
      <c r="I134" s="40">
        <f>J134*O134</f>
        <v>7986000</v>
      </c>
      <c r="J134" s="49">
        <f>H134-N134</f>
        <v>44</v>
      </c>
      <c r="K134" s="6"/>
      <c r="L134" s="6"/>
      <c r="M134" s="191">
        <f>N134*O134</f>
        <v>0</v>
      </c>
      <c r="N134" s="4"/>
      <c r="O134" s="359">
        <v>181500</v>
      </c>
      <c r="P134" s="6" t="s">
        <v>155</v>
      </c>
      <c r="Q134" s="46" t="s">
        <v>208</v>
      </c>
      <c r="R134" s="46" t="s">
        <v>158</v>
      </c>
      <c r="S134" s="207">
        <v>131109</v>
      </c>
    </row>
    <row r="135" spans="2:19" ht="27" hidden="1" customHeight="1" thickBot="1">
      <c r="D135" s="21"/>
      <c r="F135" s="21"/>
      <c r="G135" s="397">
        <f>SUM(G132:G134)</f>
        <v>7986000</v>
      </c>
      <c r="H135" s="398"/>
      <c r="I135" s="402">
        <f>SUM(I132:I134)</f>
        <v>-312856000</v>
      </c>
      <c r="J135" s="402"/>
      <c r="K135" s="400">
        <f>SUM(K132:K132)</f>
        <v>0</v>
      </c>
      <c r="L135" s="400"/>
      <c r="M135" s="400">
        <f>SUM(M132:M134)</f>
        <v>320842000</v>
      </c>
      <c r="N135" s="400"/>
      <c r="O135" s="39"/>
      <c r="P135" s="115"/>
      <c r="Q135" s="115" t="s">
        <v>111</v>
      </c>
      <c r="R135" s="15"/>
      <c r="S135" s="209"/>
    </row>
    <row r="136" spans="2:19" ht="25.5" hidden="1" customHeight="1" thickBot="1">
      <c r="D136" s="85"/>
      <c r="F136" s="85"/>
      <c r="G136" s="145"/>
      <c r="H136" s="136"/>
      <c r="I136" s="146"/>
      <c r="J136" s="146"/>
      <c r="K136" s="136"/>
      <c r="L136" s="136"/>
      <c r="M136" s="202" t="s">
        <v>183</v>
      </c>
      <c r="N136" s="136"/>
      <c r="O136" s="136"/>
      <c r="P136" s="136"/>
      <c r="Q136" s="86" t="s">
        <v>209</v>
      </c>
      <c r="R136" s="42"/>
      <c r="S136" s="205"/>
    </row>
    <row r="137" spans="2:19" ht="43.5" hidden="1" customHeight="1">
      <c r="D137" s="20">
        <v>7280</v>
      </c>
      <c r="F137" s="20"/>
      <c r="G137" s="100">
        <f t="shared" ref="G137:G147" si="23">H137*O137</f>
        <v>531440000</v>
      </c>
      <c r="H137" s="357">
        <v>7280</v>
      </c>
      <c r="I137" s="40">
        <f>J137*O137</f>
        <v>-577941000</v>
      </c>
      <c r="J137" s="49">
        <f>H137-N137</f>
        <v>-7917</v>
      </c>
      <c r="K137" s="6"/>
      <c r="L137" s="6"/>
      <c r="M137" s="113">
        <f t="shared" ref="M137:M147" si="24">N137*O137</f>
        <v>1109381000</v>
      </c>
      <c r="N137" s="4">
        <v>15197</v>
      </c>
      <c r="O137" s="359">
        <v>73000</v>
      </c>
      <c r="P137" s="6" t="s">
        <v>35</v>
      </c>
      <c r="Q137" s="45" t="s">
        <v>239</v>
      </c>
      <c r="R137" s="65" t="s">
        <v>158</v>
      </c>
      <c r="S137" s="358" t="s">
        <v>238</v>
      </c>
    </row>
    <row r="138" spans="2:19" ht="43.5" hidden="1" customHeight="1">
      <c r="D138" s="20"/>
      <c r="F138" s="20"/>
      <c r="G138" s="100">
        <f t="shared" si="23"/>
        <v>0</v>
      </c>
      <c r="H138" s="357"/>
      <c r="I138" s="40">
        <f t="shared" ref="I138:I147" si="25">J138*O138</f>
        <v>0</v>
      </c>
      <c r="J138" s="49">
        <f t="shared" ref="J138:J147" si="26">H138-N138</f>
        <v>0</v>
      </c>
      <c r="K138" s="6"/>
      <c r="L138" s="6"/>
      <c r="M138" s="100">
        <f t="shared" si="24"/>
        <v>0</v>
      </c>
      <c r="N138" s="4"/>
      <c r="O138" s="359">
        <v>6170</v>
      </c>
      <c r="P138" s="6" t="s">
        <v>35</v>
      </c>
      <c r="Q138" s="45" t="s">
        <v>166</v>
      </c>
      <c r="R138" s="65" t="s">
        <v>158</v>
      </c>
      <c r="S138" s="207">
        <v>140701</v>
      </c>
    </row>
    <row r="139" spans="2:19" ht="43.5" hidden="1" customHeight="1">
      <c r="D139" s="20"/>
      <c r="F139" s="20"/>
      <c r="G139" s="100">
        <f t="shared" si="23"/>
        <v>1064000</v>
      </c>
      <c r="H139" s="357">
        <v>140</v>
      </c>
      <c r="I139" s="40">
        <f t="shared" si="25"/>
        <v>1064000</v>
      </c>
      <c r="J139" s="49">
        <f t="shared" si="26"/>
        <v>140</v>
      </c>
      <c r="K139" s="6"/>
      <c r="L139" s="6"/>
      <c r="M139" s="100">
        <f t="shared" si="24"/>
        <v>0</v>
      </c>
      <c r="N139" s="4"/>
      <c r="O139" s="359">
        <v>7600</v>
      </c>
      <c r="P139" s="6" t="s">
        <v>35</v>
      </c>
      <c r="Q139" s="45" t="s">
        <v>136</v>
      </c>
      <c r="R139" s="65" t="s">
        <v>158</v>
      </c>
      <c r="S139" s="207">
        <v>140704</v>
      </c>
    </row>
    <row r="140" spans="2:19" ht="43.5" hidden="1" customHeight="1">
      <c r="D140" s="20"/>
      <c r="F140" s="20"/>
      <c r="G140" s="100">
        <f t="shared" si="23"/>
        <v>455000</v>
      </c>
      <c r="H140" s="357">
        <v>140</v>
      </c>
      <c r="I140" s="40">
        <f t="shared" si="25"/>
        <v>455000</v>
      </c>
      <c r="J140" s="49">
        <f t="shared" si="26"/>
        <v>140</v>
      </c>
      <c r="K140" s="6"/>
      <c r="L140" s="6"/>
      <c r="M140" s="100">
        <f t="shared" si="24"/>
        <v>0</v>
      </c>
      <c r="N140" s="4"/>
      <c r="O140" s="359">
        <v>3250</v>
      </c>
      <c r="P140" s="6" t="s">
        <v>35</v>
      </c>
      <c r="Q140" s="45" t="s">
        <v>167</v>
      </c>
      <c r="R140" s="65" t="s">
        <v>158</v>
      </c>
      <c r="S140" s="207">
        <v>140801</v>
      </c>
    </row>
    <row r="141" spans="2:19" ht="43.5" hidden="1" customHeight="1">
      <c r="B141" s="259">
        <v>950</v>
      </c>
      <c r="D141" s="20"/>
      <c r="F141" s="20"/>
      <c r="G141" s="100">
        <f t="shared" si="23"/>
        <v>72485000</v>
      </c>
      <c r="H141" s="357">
        <v>950</v>
      </c>
      <c r="I141" s="40">
        <f t="shared" si="25"/>
        <v>72485000</v>
      </c>
      <c r="J141" s="49">
        <f t="shared" si="26"/>
        <v>950</v>
      </c>
      <c r="K141" s="6"/>
      <c r="L141" s="6"/>
      <c r="M141" s="100">
        <f t="shared" si="24"/>
        <v>0</v>
      </c>
      <c r="N141" s="4"/>
      <c r="O141" s="359">
        <v>76300</v>
      </c>
      <c r="P141" s="6" t="s">
        <v>35</v>
      </c>
      <c r="Q141" s="45" t="s">
        <v>275</v>
      </c>
      <c r="R141" s="65" t="s">
        <v>158</v>
      </c>
      <c r="S141" s="207" t="s">
        <v>274</v>
      </c>
    </row>
    <row r="142" spans="2:19" ht="43.5" hidden="1" customHeight="1">
      <c r="D142" s="20"/>
      <c r="F142" s="20"/>
      <c r="G142" s="100">
        <f t="shared" si="23"/>
        <v>0</v>
      </c>
      <c r="H142" s="357"/>
      <c r="I142" s="40">
        <f t="shared" si="25"/>
        <v>0</v>
      </c>
      <c r="J142" s="49">
        <f t="shared" si="26"/>
        <v>0</v>
      </c>
      <c r="K142" s="6"/>
      <c r="L142" s="6"/>
      <c r="M142" s="100">
        <f t="shared" si="24"/>
        <v>0</v>
      </c>
      <c r="N142" s="4"/>
      <c r="O142" s="359">
        <v>9670</v>
      </c>
      <c r="P142" s="6" t="s">
        <v>35</v>
      </c>
      <c r="Q142" s="45" t="s">
        <v>137</v>
      </c>
      <c r="R142" s="65" t="s">
        <v>158</v>
      </c>
      <c r="S142" s="207">
        <v>141002</v>
      </c>
    </row>
    <row r="143" spans="2:19" ht="43.5" hidden="1" customHeight="1">
      <c r="D143" s="20">
        <v>400</v>
      </c>
      <c r="F143" s="20"/>
      <c r="G143" s="100">
        <f t="shared" si="23"/>
        <v>13800000</v>
      </c>
      <c r="H143" s="357">
        <v>400</v>
      </c>
      <c r="I143" s="40">
        <f t="shared" si="25"/>
        <v>13800000</v>
      </c>
      <c r="J143" s="49">
        <f t="shared" si="26"/>
        <v>400</v>
      </c>
      <c r="K143" s="6"/>
      <c r="L143" s="6"/>
      <c r="M143" s="100">
        <f t="shared" si="24"/>
        <v>0</v>
      </c>
      <c r="N143" s="4"/>
      <c r="O143" s="359">
        <v>34500</v>
      </c>
      <c r="P143" s="6" t="s">
        <v>35</v>
      </c>
      <c r="Q143" s="45" t="s">
        <v>253</v>
      </c>
      <c r="R143" s="65" t="s">
        <v>158</v>
      </c>
      <c r="S143" s="358" t="s">
        <v>251</v>
      </c>
    </row>
    <row r="144" spans="2:19" ht="43.5" hidden="1" customHeight="1">
      <c r="D144" s="20">
        <v>600</v>
      </c>
      <c r="F144" s="20"/>
      <c r="G144" s="100">
        <f t="shared" si="23"/>
        <v>17160000</v>
      </c>
      <c r="H144" s="357">
        <v>600</v>
      </c>
      <c r="I144" s="40">
        <f t="shared" si="25"/>
        <v>17160000</v>
      </c>
      <c r="J144" s="49">
        <f t="shared" si="26"/>
        <v>600</v>
      </c>
      <c r="K144" s="6"/>
      <c r="L144" s="6"/>
      <c r="M144" s="100">
        <f t="shared" si="24"/>
        <v>0</v>
      </c>
      <c r="N144" s="4"/>
      <c r="O144" s="359">
        <v>28600</v>
      </c>
      <c r="P144" s="6" t="s">
        <v>35</v>
      </c>
      <c r="Q144" s="45" t="s">
        <v>254</v>
      </c>
      <c r="R144" s="65" t="s">
        <v>158</v>
      </c>
      <c r="S144" s="358" t="s">
        <v>252</v>
      </c>
    </row>
    <row r="145" spans="2:19" ht="32.25" hidden="1" customHeight="1">
      <c r="B145" s="259" t="s">
        <v>276</v>
      </c>
      <c r="D145" s="20">
        <v>92520</v>
      </c>
      <c r="F145" s="20"/>
      <c r="G145" s="100">
        <f t="shared" si="23"/>
        <v>99048600</v>
      </c>
      <c r="H145" s="357">
        <f>92520+9*950</f>
        <v>101070</v>
      </c>
      <c r="I145" s="40">
        <f t="shared" si="25"/>
        <v>-34988940</v>
      </c>
      <c r="J145" s="49">
        <f t="shared" si="26"/>
        <v>-35703</v>
      </c>
      <c r="K145" s="6"/>
      <c r="L145" s="6"/>
      <c r="M145" s="100">
        <f t="shared" si="24"/>
        <v>134037540</v>
      </c>
      <c r="N145" s="4">
        <v>136773</v>
      </c>
      <c r="O145" s="104">
        <v>980</v>
      </c>
      <c r="P145" s="4" t="s">
        <v>44</v>
      </c>
      <c r="Q145" s="45" t="s">
        <v>68</v>
      </c>
      <c r="R145" s="65" t="s">
        <v>158</v>
      </c>
      <c r="S145" s="207">
        <v>141901</v>
      </c>
    </row>
    <row r="146" spans="2:19" ht="32.25" hidden="1" customHeight="1">
      <c r="B146" s="259" t="s">
        <v>277</v>
      </c>
      <c r="D146" s="20">
        <v>205600</v>
      </c>
      <c r="F146" s="20"/>
      <c r="G146" s="100">
        <f t="shared" si="23"/>
        <v>201017000</v>
      </c>
      <c r="H146" s="357">
        <f>205600+20*950</f>
        <v>224600</v>
      </c>
      <c r="I146" s="40">
        <f t="shared" si="25"/>
        <v>-71009300</v>
      </c>
      <c r="J146" s="49">
        <f t="shared" si="26"/>
        <v>-79340</v>
      </c>
      <c r="K146" s="6"/>
      <c r="L146" s="6"/>
      <c r="M146" s="100">
        <f t="shared" si="24"/>
        <v>272026300</v>
      </c>
      <c r="N146" s="4">
        <v>303940</v>
      </c>
      <c r="O146" s="359">
        <v>895</v>
      </c>
      <c r="P146" s="4" t="s">
        <v>44</v>
      </c>
      <c r="Q146" s="45" t="s">
        <v>242</v>
      </c>
      <c r="R146" s="65" t="s">
        <v>158</v>
      </c>
      <c r="S146" s="207">
        <v>141902</v>
      </c>
    </row>
    <row r="147" spans="2:19" ht="32.25" hidden="1" customHeight="1">
      <c r="B147" s="259" t="s">
        <v>278</v>
      </c>
      <c r="D147" s="57">
        <v>102800</v>
      </c>
      <c r="F147" s="57"/>
      <c r="G147" s="100">
        <f t="shared" si="23"/>
        <v>80294500</v>
      </c>
      <c r="H147" s="224">
        <f>102800+10*950</f>
        <v>112300</v>
      </c>
      <c r="I147" s="40">
        <f t="shared" si="25"/>
        <v>-28364050</v>
      </c>
      <c r="J147" s="49">
        <f t="shared" si="26"/>
        <v>-39670</v>
      </c>
      <c r="K147" s="7"/>
      <c r="L147" s="7"/>
      <c r="M147" s="100">
        <f t="shared" si="24"/>
        <v>108658550</v>
      </c>
      <c r="N147" s="59">
        <v>151970</v>
      </c>
      <c r="O147" s="60">
        <v>715</v>
      </c>
      <c r="P147" s="4" t="s">
        <v>44</v>
      </c>
      <c r="Q147" s="247" t="s">
        <v>241</v>
      </c>
      <c r="R147" s="65" t="s">
        <v>158</v>
      </c>
      <c r="S147" s="248" t="s">
        <v>240</v>
      </c>
    </row>
    <row r="148" spans="2:19" ht="29.25" hidden="1" customHeight="1" thickBot="1">
      <c r="D148" s="21"/>
      <c r="F148" s="21"/>
      <c r="G148" s="397">
        <f>SUM(G137:G147)</f>
        <v>1016764100</v>
      </c>
      <c r="H148" s="398"/>
      <c r="I148" s="432">
        <f>SUM(I137:I147)</f>
        <v>-607339290</v>
      </c>
      <c r="J148" s="432"/>
      <c r="K148" s="433">
        <f>SUM(K137:K146)</f>
        <v>0</v>
      </c>
      <c r="L148" s="433"/>
      <c r="M148" s="400">
        <f>SUM(M137:M147)</f>
        <v>1624103390</v>
      </c>
      <c r="N148" s="400"/>
      <c r="O148" s="400"/>
      <c r="P148" s="400"/>
      <c r="Q148" s="170" t="s">
        <v>13</v>
      </c>
      <c r="R148" s="68"/>
      <c r="S148" s="217"/>
    </row>
    <row r="149" spans="2:19" ht="49.5" hidden="1" customHeight="1">
      <c r="D149" s="13"/>
      <c r="F149" s="13"/>
      <c r="G149" s="99"/>
      <c r="H149" s="11"/>
      <c r="I149" s="54"/>
      <c r="J149" s="54"/>
      <c r="K149" s="87"/>
      <c r="L149" s="87"/>
      <c r="M149" s="99"/>
      <c r="N149" s="37"/>
      <c r="O149" s="37"/>
      <c r="P149" s="37"/>
      <c r="Q149" s="88"/>
      <c r="R149" s="88"/>
      <c r="S149" s="218"/>
    </row>
    <row r="150" spans="2:19" ht="49.5" hidden="1" customHeight="1" thickBot="1">
      <c r="D150" s="13"/>
      <c r="F150" s="13"/>
      <c r="G150" s="99"/>
      <c r="H150" s="11"/>
      <c r="I150" s="54"/>
      <c r="J150" s="54"/>
      <c r="K150" s="87"/>
      <c r="L150" s="87"/>
      <c r="M150" s="99"/>
      <c r="N150" s="37"/>
      <c r="O150" s="37"/>
      <c r="P150" s="37"/>
      <c r="Q150" s="88"/>
      <c r="R150" s="88"/>
      <c r="S150" s="218"/>
    </row>
    <row r="151" spans="2:19" ht="25.5" hidden="1" customHeight="1">
      <c r="D151" s="77"/>
      <c r="F151" s="173"/>
      <c r="G151" s="382" t="s">
        <v>300</v>
      </c>
      <c r="H151" s="382"/>
      <c r="I151" s="382" t="s">
        <v>145</v>
      </c>
      <c r="J151" s="382"/>
      <c r="K151" s="78"/>
      <c r="L151" s="78"/>
      <c r="M151" s="199"/>
      <c r="N151" s="78"/>
      <c r="O151" s="79"/>
      <c r="P151" s="78"/>
      <c r="Q151" s="80" t="s">
        <v>171</v>
      </c>
      <c r="R151" s="41"/>
      <c r="S151" s="219"/>
    </row>
    <row r="152" spans="2:19" ht="25.5" hidden="1" customHeight="1">
      <c r="D152" s="81"/>
      <c r="F152" s="174"/>
      <c r="G152" s="96"/>
      <c r="H152" s="82"/>
      <c r="I152" s="83"/>
      <c r="J152" s="143" t="s">
        <v>146</v>
      </c>
      <c r="K152" s="144"/>
      <c r="L152" s="144"/>
      <c r="M152" s="200"/>
      <c r="N152" s="144"/>
      <c r="O152" s="135"/>
      <c r="P152" s="144"/>
      <c r="Q152" s="84" t="s">
        <v>292</v>
      </c>
      <c r="R152" s="56"/>
      <c r="S152" s="175"/>
    </row>
    <row r="153" spans="2:19" ht="25.5" hidden="1" customHeight="1" thickBot="1">
      <c r="D153" s="85"/>
      <c r="F153" s="85"/>
      <c r="G153" s="145"/>
      <c r="H153" s="136"/>
      <c r="I153" s="146"/>
      <c r="J153" s="146"/>
      <c r="K153" s="136"/>
      <c r="L153" s="136"/>
      <c r="M153" s="202" t="s">
        <v>183</v>
      </c>
      <c r="N153" s="136"/>
      <c r="O153" s="136"/>
      <c r="P153" s="136"/>
      <c r="Q153" s="86" t="s">
        <v>210</v>
      </c>
      <c r="R153" s="42"/>
      <c r="S153" s="205"/>
    </row>
    <row r="154" spans="2:19" ht="34.5" hidden="1" customHeight="1">
      <c r="C154" s="3" t="s">
        <v>291</v>
      </c>
      <c r="D154" s="20"/>
      <c r="F154" s="20"/>
      <c r="G154" s="100">
        <f>H154*O154</f>
        <v>6300000</v>
      </c>
      <c r="H154" s="357">
        <v>700</v>
      </c>
      <c r="I154" s="40">
        <f>J154*O154</f>
        <v>6300000</v>
      </c>
      <c r="J154" s="49">
        <f>H154-N154</f>
        <v>700</v>
      </c>
      <c r="K154" s="4"/>
      <c r="L154" s="4"/>
      <c r="M154" s="191"/>
      <c r="N154" s="4"/>
      <c r="O154" s="359">
        <v>9000</v>
      </c>
      <c r="P154" s="4" t="s">
        <v>36</v>
      </c>
      <c r="Q154" s="4" t="s">
        <v>98</v>
      </c>
      <c r="R154" s="64" t="s">
        <v>158</v>
      </c>
      <c r="S154" s="32" t="s">
        <v>97</v>
      </c>
    </row>
    <row r="155" spans="2:19" ht="34.5" hidden="1" customHeight="1">
      <c r="D155" s="20"/>
      <c r="F155" s="20"/>
      <c r="G155" s="100"/>
      <c r="H155" s="357"/>
      <c r="I155" s="40">
        <f>J155*O155</f>
        <v>0</v>
      </c>
      <c r="J155" s="49">
        <f>H155-N155</f>
        <v>0</v>
      </c>
      <c r="K155" s="4"/>
      <c r="L155" s="4"/>
      <c r="M155" s="191"/>
      <c r="N155" s="4"/>
      <c r="O155" s="359">
        <v>43200</v>
      </c>
      <c r="P155" s="4" t="s">
        <v>36</v>
      </c>
      <c r="Q155" s="4" t="s">
        <v>106</v>
      </c>
      <c r="R155" s="64" t="s">
        <v>158</v>
      </c>
      <c r="S155" s="32" t="s">
        <v>105</v>
      </c>
    </row>
    <row r="156" spans="2:19" s="171" customFormat="1" ht="34.5" hidden="1" customHeight="1" thickBot="1">
      <c r="B156" s="260"/>
      <c r="C156" s="263"/>
      <c r="D156" s="131"/>
      <c r="F156" s="131"/>
      <c r="G156" s="397">
        <f>SUM(G154:G155)</f>
        <v>6300000</v>
      </c>
      <c r="H156" s="398"/>
      <c r="I156" s="399">
        <f>SUM(I154:I155)</f>
        <v>6300000</v>
      </c>
      <c r="J156" s="399"/>
      <c r="K156" s="411">
        <f>SUM(K154:K155)</f>
        <v>0</v>
      </c>
      <c r="L156" s="411"/>
      <c r="M156" s="411">
        <f>SUM(M154:M155)</f>
        <v>0</v>
      </c>
      <c r="N156" s="411"/>
      <c r="O156" s="133"/>
      <c r="P156" s="355"/>
      <c r="Q156" s="134" t="s">
        <v>60</v>
      </c>
      <c r="R156" s="172"/>
      <c r="S156" s="217"/>
    </row>
    <row r="157" spans="2:19" ht="32.25" hidden="1" customHeight="1">
      <c r="D157" s="177"/>
      <c r="F157" s="177"/>
      <c r="G157" s="103"/>
      <c r="H157" s="75"/>
      <c r="I157" s="40">
        <f>J157*O157</f>
        <v>0</v>
      </c>
      <c r="J157" s="49">
        <f>H157-N157</f>
        <v>0</v>
      </c>
      <c r="K157" s="75"/>
      <c r="L157" s="75"/>
      <c r="M157" s="191"/>
      <c r="N157" s="75"/>
      <c r="O157" s="360">
        <v>40700</v>
      </c>
      <c r="P157" s="4" t="s">
        <v>125</v>
      </c>
      <c r="Q157" s="71" t="s">
        <v>168</v>
      </c>
      <c r="R157" s="72" t="s">
        <v>158</v>
      </c>
      <c r="S157" s="214">
        <v>190103</v>
      </c>
    </row>
    <row r="158" spans="2:19" ht="32.25" hidden="1" customHeight="1">
      <c r="D158" s="177">
        <v>4369.33</v>
      </c>
      <c r="F158" s="177"/>
      <c r="G158" s="103">
        <f>H158*O158</f>
        <v>27087800</v>
      </c>
      <c r="H158" s="75">
        <v>4369</v>
      </c>
      <c r="I158" s="40">
        <f>J158*O158</f>
        <v>27087800</v>
      </c>
      <c r="J158" s="49">
        <f>H158-N158</f>
        <v>4369</v>
      </c>
      <c r="K158" s="75"/>
      <c r="L158" s="75"/>
      <c r="M158" s="191"/>
      <c r="N158" s="75"/>
      <c r="O158" s="360">
        <v>6200</v>
      </c>
      <c r="P158" s="4" t="s">
        <v>125</v>
      </c>
      <c r="Q158" s="71" t="s">
        <v>256</v>
      </c>
      <c r="R158" s="72" t="s">
        <v>158</v>
      </c>
      <c r="S158" s="356" t="s">
        <v>255</v>
      </c>
    </row>
    <row r="159" spans="2:19" ht="32.25" hidden="1" customHeight="1">
      <c r="B159" s="259">
        <v>450</v>
      </c>
      <c r="C159" s="3">
        <v>300</v>
      </c>
      <c r="D159" s="5">
        <v>348.75</v>
      </c>
      <c r="F159" s="5"/>
      <c r="G159" s="103">
        <f>H159*O159</f>
        <v>61048800</v>
      </c>
      <c r="H159" s="357">
        <f>348+300+450</f>
        <v>1098</v>
      </c>
      <c r="I159" s="40">
        <f>J159*O159</f>
        <v>61048800</v>
      </c>
      <c r="J159" s="49">
        <f>H159-N159</f>
        <v>1098</v>
      </c>
      <c r="K159" s="4"/>
      <c r="L159" s="4"/>
      <c r="M159" s="191"/>
      <c r="N159" s="4"/>
      <c r="O159" s="359">
        <v>55600</v>
      </c>
      <c r="P159" s="4" t="s">
        <v>108</v>
      </c>
      <c r="Q159" s="46" t="s">
        <v>150</v>
      </c>
      <c r="R159" s="72" t="s">
        <v>158</v>
      </c>
      <c r="S159" s="32" t="s">
        <v>149</v>
      </c>
    </row>
    <row r="160" spans="2:19" ht="32.25" hidden="1" customHeight="1">
      <c r="D160" s="57"/>
      <c r="F160" s="57"/>
      <c r="G160" s="103">
        <f>H160*O160</f>
        <v>10680000</v>
      </c>
      <c r="H160" s="357">
        <v>120</v>
      </c>
      <c r="I160" s="40">
        <f>J160*O160</f>
        <v>-7120000</v>
      </c>
      <c r="J160" s="49">
        <f>H160-N160</f>
        <v>-80</v>
      </c>
      <c r="K160" s="59"/>
      <c r="L160" s="59"/>
      <c r="M160" s="191">
        <f>N160*O160</f>
        <v>17800000</v>
      </c>
      <c r="N160" s="59">
        <v>200</v>
      </c>
      <c r="O160" s="60">
        <v>89000</v>
      </c>
      <c r="P160" s="59" t="s">
        <v>64</v>
      </c>
      <c r="Q160" s="247" t="s">
        <v>244</v>
      </c>
      <c r="R160" s="72" t="s">
        <v>159</v>
      </c>
      <c r="S160" s="76" t="s">
        <v>243</v>
      </c>
    </row>
    <row r="161" spans="2:28" s="178" customFormat="1" ht="32.25" hidden="1" customHeight="1" thickBot="1">
      <c r="B161" s="261"/>
      <c r="C161" s="264"/>
      <c r="D161" s="179"/>
      <c r="F161" s="179"/>
      <c r="G161" s="407">
        <f>SUM(G157:G160)</f>
        <v>98816600</v>
      </c>
      <c r="H161" s="408"/>
      <c r="I161" s="403">
        <f>SUM(I157:I160)</f>
        <v>81016600</v>
      </c>
      <c r="J161" s="403"/>
      <c r="K161" s="434" t="e">
        <f>SUM(#REF!)</f>
        <v>#REF!</v>
      </c>
      <c r="L161" s="434"/>
      <c r="M161" s="434">
        <f>SUM(M157:M160)</f>
        <v>17800000</v>
      </c>
      <c r="N161" s="434"/>
      <c r="O161" s="182"/>
      <c r="P161" s="361"/>
      <c r="Q161" s="183" t="s">
        <v>107</v>
      </c>
      <c r="R161" s="184"/>
      <c r="S161" s="221"/>
    </row>
    <row r="162" spans="2:28" ht="25.5" hidden="1" customHeight="1" thickBot="1">
      <c r="D162" s="85"/>
      <c r="F162" s="85"/>
      <c r="G162" s="145"/>
      <c r="H162" s="136"/>
      <c r="I162" s="146"/>
      <c r="J162" s="146"/>
      <c r="K162" s="136"/>
      <c r="L162" s="136"/>
      <c r="M162" s="202" t="s">
        <v>183</v>
      </c>
      <c r="N162" s="136"/>
      <c r="O162" s="136"/>
      <c r="P162" s="136"/>
      <c r="Q162" s="86" t="s">
        <v>211</v>
      </c>
      <c r="R162" s="42"/>
      <c r="S162" s="205"/>
    </row>
    <row r="163" spans="2:28" ht="33" hidden="1" customHeight="1">
      <c r="B163" s="265">
        <f>(C110+B110)*0.25*45</f>
        <v>34233.75</v>
      </c>
      <c r="D163" s="20">
        <v>32089.8</v>
      </c>
      <c r="F163" s="20"/>
      <c r="G163" s="100">
        <f>H163*O163</f>
        <v>24207530</v>
      </c>
      <c r="H163" s="357">
        <f>32089+34233</f>
        <v>66322</v>
      </c>
      <c r="I163" s="40">
        <f>J163*O163</f>
        <v>11620870</v>
      </c>
      <c r="J163" s="49">
        <f>H163-N163</f>
        <v>31838</v>
      </c>
      <c r="K163" s="4"/>
      <c r="L163" s="4"/>
      <c r="M163" s="191">
        <f>N163*O163</f>
        <v>12586660</v>
      </c>
      <c r="N163" s="4">
        <v>34484</v>
      </c>
      <c r="O163" s="359">
        <v>365</v>
      </c>
      <c r="P163" s="4" t="s">
        <v>59</v>
      </c>
      <c r="Q163" s="4" t="s">
        <v>56</v>
      </c>
      <c r="R163" s="64" t="s">
        <v>158</v>
      </c>
      <c r="S163" s="207" t="s">
        <v>53</v>
      </c>
    </row>
    <row r="164" spans="2:28" ht="33" hidden="1" customHeight="1">
      <c r="B164" s="265">
        <f>(C110+B110)*0.25*75</f>
        <v>57056.25</v>
      </c>
      <c r="D164" s="20">
        <v>27643.439999999999</v>
      </c>
      <c r="F164" s="20"/>
      <c r="G164" s="100">
        <f>H164*O164</f>
        <v>20751255</v>
      </c>
      <c r="H164" s="357">
        <f>27643+57056</f>
        <v>84699</v>
      </c>
      <c r="I164" s="40">
        <f>J164*O164</f>
        <v>13560995</v>
      </c>
      <c r="J164" s="49">
        <f>H164-N164</f>
        <v>55351</v>
      </c>
      <c r="K164" s="4"/>
      <c r="L164" s="4"/>
      <c r="M164" s="191">
        <f>N164*O164</f>
        <v>7190260</v>
      </c>
      <c r="N164" s="4">
        <v>29348</v>
      </c>
      <c r="O164" s="359">
        <v>245</v>
      </c>
      <c r="P164" s="4" t="s">
        <v>59</v>
      </c>
      <c r="Q164" s="4" t="s">
        <v>57</v>
      </c>
      <c r="R164" s="64" t="s">
        <v>158</v>
      </c>
      <c r="S164" s="207" t="s">
        <v>54</v>
      </c>
    </row>
    <row r="165" spans="2:28" ht="33" hidden="1" customHeight="1">
      <c r="B165" s="265">
        <f>(C110+B110)*0.25*150</f>
        <v>114112.5</v>
      </c>
      <c r="D165" s="20">
        <v>10067.700000000001</v>
      </c>
      <c r="F165" s="20"/>
      <c r="G165" s="100">
        <f>H165*O165</f>
        <v>1560385</v>
      </c>
      <c r="H165" s="357">
        <v>10067</v>
      </c>
      <c r="I165" s="40">
        <f>J165*O165</f>
        <v>91295</v>
      </c>
      <c r="J165" s="49">
        <f>H165-N165</f>
        <v>589</v>
      </c>
      <c r="K165" s="4"/>
      <c r="L165" s="4"/>
      <c r="M165" s="191">
        <f>N165*O165</f>
        <v>1469090</v>
      </c>
      <c r="N165" s="4">
        <v>9478</v>
      </c>
      <c r="O165" s="359">
        <v>155</v>
      </c>
      <c r="P165" s="4" t="s">
        <v>59</v>
      </c>
      <c r="Q165" s="4" t="s">
        <v>58</v>
      </c>
      <c r="R165" s="64" t="s">
        <v>158</v>
      </c>
      <c r="S165" s="207" t="s">
        <v>55</v>
      </c>
    </row>
    <row r="166" spans="2:28" ht="33" hidden="1" customHeight="1">
      <c r="B166" s="265"/>
      <c r="D166" s="20">
        <v>10067.700000000001</v>
      </c>
      <c r="F166" s="20"/>
      <c r="G166" s="100">
        <f>H166*O166</f>
        <v>1258375</v>
      </c>
      <c r="H166" s="357">
        <v>10067</v>
      </c>
      <c r="I166" s="40">
        <f>J166*O166</f>
        <v>73625</v>
      </c>
      <c r="J166" s="49">
        <f>H166-N166</f>
        <v>589</v>
      </c>
      <c r="K166" s="4"/>
      <c r="L166" s="4"/>
      <c r="M166" s="191">
        <f>N166*O166</f>
        <v>1184750</v>
      </c>
      <c r="N166" s="4">
        <v>9478</v>
      </c>
      <c r="O166" s="359">
        <v>125</v>
      </c>
      <c r="P166" s="4" t="s">
        <v>59</v>
      </c>
      <c r="Q166" s="4" t="s">
        <v>113</v>
      </c>
      <c r="R166" s="64" t="s">
        <v>158</v>
      </c>
      <c r="S166" s="207" t="s">
        <v>112</v>
      </c>
    </row>
    <row r="167" spans="2:28" ht="33" hidden="1" customHeight="1">
      <c r="B167" s="265"/>
      <c r="D167" s="20">
        <v>3355.9</v>
      </c>
      <c r="F167" s="20"/>
      <c r="G167" s="100">
        <f>H167*O167</f>
        <v>369050</v>
      </c>
      <c r="H167" s="357">
        <v>3355</v>
      </c>
      <c r="I167" s="40">
        <f>J167*O167</f>
        <v>21560</v>
      </c>
      <c r="J167" s="49">
        <f>H167-N167</f>
        <v>196</v>
      </c>
      <c r="K167" s="4"/>
      <c r="L167" s="4"/>
      <c r="M167" s="191">
        <f>N167*O167</f>
        <v>347490</v>
      </c>
      <c r="N167" s="4">
        <v>3159</v>
      </c>
      <c r="O167" s="359">
        <v>110</v>
      </c>
      <c r="P167" s="4" t="s">
        <v>59</v>
      </c>
      <c r="Q167" s="4" t="s">
        <v>127</v>
      </c>
      <c r="R167" s="64" t="s">
        <v>158</v>
      </c>
      <c r="S167" s="207" t="s">
        <v>126</v>
      </c>
    </row>
    <row r="168" spans="2:28" s="178" customFormat="1" ht="33" hidden="1" customHeight="1" thickBot="1">
      <c r="B168" s="261"/>
      <c r="C168" s="264"/>
      <c r="D168" s="179"/>
      <c r="F168" s="179"/>
      <c r="G168" s="407">
        <f>SUM(G163:G167)</f>
        <v>48146595</v>
      </c>
      <c r="H168" s="408"/>
      <c r="I168" s="403">
        <f>SUM(I163:I167)</f>
        <v>25368345</v>
      </c>
      <c r="J168" s="403"/>
      <c r="K168" s="434">
        <f>SUM(K163:K167)</f>
        <v>0</v>
      </c>
      <c r="L168" s="434"/>
      <c r="M168" s="434">
        <f>SUM(M163:M167)</f>
        <v>22778250</v>
      </c>
      <c r="N168" s="434"/>
      <c r="O168" s="182"/>
      <c r="P168" s="361"/>
      <c r="Q168" s="361" t="s">
        <v>14</v>
      </c>
      <c r="R168" s="354"/>
      <c r="S168" s="221"/>
    </row>
    <row r="169" spans="2:28" ht="49.5" hidden="1" customHeight="1"/>
    <row r="170" spans="2:28" ht="49.5" hidden="1" customHeight="1"/>
    <row r="171" spans="2:28" ht="49.5" hidden="1" customHeight="1"/>
    <row r="172" spans="2:28" ht="49.5" hidden="1" customHeight="1">
      <c r="T172" s="3"/>
      <c r="U172" s="3"/>
      <c r="V172" s="3"/>
      <c r="W172" s="3"/>
      <c r="X172" s="3"/>
      <c r="Y172" s="3"/>
      <c r="Z172" s="14"/>
      <c r="AA172" s="14"/>
      <c r="AB172" s="12"/>
    </row>
    <row r="173" spans="2:28" ht="49.5" hidden="1" customHeight="1">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D176" s="25"/>
      <c r="F176" s="25"/>
      <c r="T176" s="3"/>
      <c r="U176" s="3"/>
      <c r="V176" s="3"/>
      <c r="W176" s="3"/>
      <c r="X176" s="3"/>
      <c r="Y176" s="3"/>
      <c r="Z176" s="14"/>
      <c r="AA176" s="14"/>
      <c r="AB176" s="12"/>
    </row>
    <row r="177" spans="4:28" ht="49.5" hidden="1" customHeight="1">
      <c r="T177" s="3"/>
      <c r="U177" s="3"/>
      <c r="V177" s="3"/>
      <c r="W177" s="3"/>
      <c r="X177" s="3"/>
      <c r="Y177" s="3"/>
      <c r="Z177" s="14"/>
      <c r="AA177" s="14"/>
      <c r="AB177" s="12"/>
    </row>
    <row r="178" spans="4:28" ht="49.5" hidden="1" customHeight="1">
      <c r="D178" s="26"/>
      <c r="F178" s="26"/>
      <c r="T178" s="3"/>
      <c r="U178" s="3"/>
      <c r="V178" s="3"/>
      <c r="W178" s="3"/>
      <c r="X178" s="3"/>
      <c r="Y178" s="3"/>
      <c r="Z178" s="14"/>
      <c r="AA178" s="14"/>
      <c r="AB178" s="12"/>
    </row>
    <row r="179" spans="4:28" ht="49.5" hidden="1" customHeight="1">
      <c r="T179" s="3"/>
      <c r="U179" s="3"/>
      <c r="V179" s="3"/>
      <c r="W179" s="3"/>
      <c r="X179" s="3"/>
      <c r="Y179" s="3"/>
      <c r="Z179" s="14"/>
      <c r="AA179" s="14"/>
      <c r="AB179" s="12"/>
    </row>
    <row r="180" spans="4:28" ht="49.5" hidden="1" customHeight="1">
      <c r="T180" s="3"/>
      <c r="U180" s="3"/>
      <c r="V180" s="3"/>
      <c r="W180" s="3"/>
      <c r="X180" s="3"/>
      <c r="Y180" s="3"/>
      <c r="Z180" s="14"/>
      <c r="AA180" s="14"/>
      <c r="AB180" s="12"/>
    </row>
    <row r="181" spans="4:28" ht="49.5" hidden="1" customHeight="1">
      <c r="T181" s="3"/>
      <c r="U181" s="3"/>
      <c r="V181" s="3"/>
      <c r="W181" s="3"/>
      <c r="X181" s="3"/>
      <c r="Y181" s="3"/>
      <c r="Z181" s="14"/>
      <c r="AA181" s="14"/>
      <c r="AB181" s="12"/>
    </row>
    <row r="182" spans="4:28" ht="49.5" hidden="1" customHeight="1">
      <c r="D182" s="16">
        <v>1.25</v>
      </c>
      <c r="F182" s="16">
        <v>1.25</v>
      </c>
      <c r="I182" s="33" t="s">
        <v>69</v>
      </c>
      <c r="J182" s="33" t="s">
        <v>67</v>
      </c>
      <c r="T182" s="3"/>
      <c r="U182" s="3"/>
      <c r="V182" s="3"/>
      <c r="W182" s="3"/>
      <c r="X182" s="3"/>
      <c r="Y182" s="3"/>
      <c r="Z182" s="14"/>
      <c r="AA182" s="14"/>
      <c r="AB182" s="12"/>
    </row>
    <row r="183" spans="4:28" ht="49.5" hidden="1" customHeight="1">
      <c r="D183" s="16" t="e">
        <f>G168+#REF!+#REF!+G156+#REF!+G148+#REF!+G125+G101+#REF!+G96+G84+#REF!+G40+G17+#REF!</f>
        <v>#REF!</v>
      </c>
      <c r="F183" s="16" t="e">
        <f>I168+#REF!+#REF!+I156+#REF!+I148+#REF!+I125+I101+#REF!+I96+I84+#REF!+I40+I17+#REF!</f>
        <v>#REF!</v>
      </c>
      <c r="I183" s="53" t="e">
        <f>K168+#REF!+#REF!+K156+#REF!+K148+#REF!+K125+K101+#REF!+K96+K84+#REF!+K40+K17+#REF!</f>
        <v>#REF!</v>
      </c>
      <c r="J183" s="33" t="e">
        <f>M168+#REF!+#REF!+M156+#REF!+#REF!+M125+M101+#REF!+M96+M84+M40+#REF!+M17+M148+#REF!</f>
        <v>#REF!</v>
      </c>
      <c r="T183" s="3"/>
      <c r="U183" s="3"/>
      <c r="V183" s="3"/>
      <c r="W183" s="3"/>
      <c r="X183" s="3"/>
      <c r="Y183" s="3"/>
      <c r="Z183" s="14"/>
      <c r="AA183" s="14"/>
      <c r="AB183" s="12"/>
    </row>
    <row r="184" spans="4:28" ht="49.5" customHeight="1">
      <c r="I184" s="377"/>
      <c r="J184" s="378"/>
      <c r="T184" s="3"/>
      <c r="U184" s="3"/>
      <c r="V184" s="3"/>
      <c r="W184" s="3"/>
      <c r="X184" s="3"/>
      <c r="Y184" s="3"/>
      <c r="Z184" s="14"/>
      <c r="AA184" s="14"/>
      <c r="AB184" s="12"/>
    </row>
    <row r="185" spans="4:28" ht="49.5" customHeight="1">
      <c r="T185" s="3"/>
      <c r="U185" s="3"/>
      <c r="V185" s="3"/>
      <c r="W185" s="3"/>
      <c r="X185" s="3"/>
      <c r="Y185" s="3"/>
      <c r="Z185" s="14"/>
      <c r="AA185" s="14"/>
      <c r="AB185" s="12"/>
    </row>
    <row r="186" spans="4:28" ht="49.5" customHeight="1">
      <c r="T186" s="3"/>
      <c r="U186" s="3"/>
      <c r="V186" s="3"/>
      <c r="W186" s="3"/>
      <c r="X186" s="3"/>
      <c r="Y186" s="3"/>
      <c r="Z186" s="14"/>
      <c r="AA186" s="14"/>
      <c r="AB186" s="12"/>
    </row>
    <row r="187" spans="4:28" ht="49.5" customHeight="1">
      <c r="T187" s="3"/>
      <c r="U187" s="3"/>
      <c r="V187" s="3"/>
      <c r="W187" s="3"/>
      <c r="X187" s="3"/>
      <c r="Y187" s="3"/>
      <c r="Z187" s="14"/>
      <c r="AA187" s="14"/>
      <c r="AB187" s="12"/>
    </row>
    <row r="188" spans="4:28" ht="49.5" customHeight="1">
      <c r="T188" s="3"/>
      <c r="U188" s="3"/>
      <c r="V188" s="3"/>
      <c r="W188" s="3"/>
      <c r="X188" s="3"/>
      <c r="Y188" s="3"/>
      <c r="Z188" s="14"/>
      <c r="AA188" s="14"/>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row r="197" spans="26:28" ht="49.5" customHeight="1">
      <c r="Z197" s="12"/>
      <c r="AA197" s="12"/>
      <c r="AB197" s="12"/>
    </row>
    <row r="198" spans="26:28" ht="49.5" customHeight="1">
      <c r="Z198" s="12"/>
      <c r="AA198" s="12"/>
      <c r="AB198" s="12"/>
    </row>
    <row r="199" spans="26:28" ht="49.5" customHeight="1">
      <c r="Z199" s="12"/>
      <c r="AA199" s="12"/>
      <c r="AB199" s="12"/>
    </row>
    <row r="200" spans="26:28" ht="49.5" customHeight="1">
      <c r="Z200" s="12"/>
      <c r="AA200" s="12"/>
      <c r="AB200" s="12"/>
    </row>
    <row r="201" spans="26:28" ht="49.5" customHeight="1">
      <c r="Z201" s="12"/>
      <c r="AA201" s="12"/>
      <c r="AB201" s="12"/>
    </row>
    <row r="202" spans="26:28" ht="49.5" customHeight="1">
      <c r="Z202" s="12"/>
      <c r="AA202" s="12"/>
      <c r="AB202" s="12"/>
    </row>
  </sheetData>
  <mergeCells count="130">
    <mergeCell ref="D3:D4"/>
    <mergeCell ref="F3:F4"/>
    <mergeCell ref="G3:H3"/>
    <mergeCell ref="I3:J3"/>
    <mergeCell ref="K3:L3"/>
    <mergeCell ref="M3:N3"/>
    <mergeCell ref="O3:O4"/>
    <mergeCell ref="I18:J18"/>
    <mergeCell ref="P3:P4"/>
    <mergeCell ref="Q3:Q4"/>
    <mergeCell ref="S3:S4"/>
    <mergeCell ref="I17:J17"/>
    <mergeCell ref="K17:L17"/>
    <mergeCell ref="M17:N17"/>
    <mergeCell ref="G1:H1"/>
    <mergeCell ref="I1:J1"/>
    <mergeCell ref="P1:Q1"/>
    <mergeCell ref="K22:L22"/>
    <mergeCell ref="M22:N22"/>
    <mergeCell ref="O22:O23"/>
    <mergeCell ref="P22:P23"/>
    <mergeCell ref="Q22:Q23"/>
    <mergeCell ref="S22:S23"/>
    <mergeCell ref="G19:H19"/>
    <mergeCell ref="I19:J19"/>
    <mergeCell ref="D22:D23"/>
    <mergeCell ref="F22:F23"/>
    <mergeCell ref="G22:H22"/>
    <mergeCell ref="I22:J22"/>
    <mergeCell ref="G60:H60"/>
    <mergeCell ref="I60:J60"/>
    <mergeCell ref="K60:L60"/>
    <mergeCell ref="M60:N60"/>
    <mergeCell ref="G62:H62"/>
    <mergeCell ref="I62:J62"/>
    <mergeCell ref="G40:H40"/>
    <mergeCell ref="I40:J40"/>
    <mergeCell ref="K40:L40"/>
    <mergeCell ref="M40:N40"/>
    <mergeCell ref="G42:H42"/>
    <mergeCell ref="I42:J42"/>
    <mergeCell ref="S65:S66"/>
    <mergeCell ref="G71:H71"/>
    <mergeCell ref="I71:J71"/>
    <mergeCell ref="M71:N71"/>
    <mergeCell ref="D65:D66"/>
    <mergeCell ref="F65:F66"/>
    <mergeCell ref="G65:H65"/>
    <mergeCell ref="I65:J65"/>
    <mergeCell ref="K65:L65"/>
    <mergeCell ref="M65:N65"/>
    <mergeCell ref="G84:H84"/>
    <mergeCell ref="I84:J84"/>
    <mergeCell ref="K84:L84"/>
    <mergeCell ref="M84:N84"/>
    <mergeCell ref="G86:H86"/>
    <mergeCell ref="I86:J86"/>
    <mergeCell ref="O65:O66"/>
    <mergeCell ref="P65:P66"/>
    <mergeCell ref="Q65:Q66"/>
    <mergeCell ref="S89:S90"/>
    <mergeCell ref="G96:H96"/>
    <mergeCell ref="I96:J96"/>
    <mergeCell ref="K96:L96"/>
    <mergeCell ref="M96:N96"/>
    <mergeCell ref="O96:P96"/>
    <mergeCell ref="D89:D90"/>
    <mergeCell ref="F89:F90"/>
    <mergeCell ref="G89:H89"/>
    <mergeCell ref="I89:J89"/>
    <mergeCell ref="K89:L89"/>
    <mergeCell ref="M89:N89"/>
    <mergeCell ref="G101:H101"/>
    <mergeCell ref="I101:J101"/>
    <mergeCell ref="K101:L101"/>
    <mergeCell ref="M101:N101"/>
    <mergeCell ref="G103:H103"/>
    <mergeCell ref="I103:J103"/>
    <mergeCell ref="O89:O90"/>
    <mergeCell ref="P89:P90"/>
    <mergeCell ref="Q89:Q90"/>
    <mergeCell ref="O106:O107"/>
    <mergeCell ref="P106:P107"/>
    <mergeCell ref="Q106:Q107"/>
    <mergeCell ref="S106:S107"/>
    <mergeCell ref="G125:H125"/>
    <mergeCell ref="I125:J125"/>
    <mergeCell ref="K125:L125"/>
    <mergeCell ref="M125:N125"/>
    <mergeCell ref="D106:D107"/>
    <mergeCell ref="F106:F107"/>
    <mergeCell ref="G106:H106"/>
    <mergeCell ref="I106:J106"/>
    <mergeCell ref="K106:L106"/>
    <mergeCell ref="M106:N106"/>
    <mergeCell ref="O130:O131"/>
    <mergeCell ref="P130:P131"/>
    <mergeCell ref="Q130:Q131"/>
    <mergeCell ref="S130:S131"/>
    <mergeCell ref="G127:H127"/>
    <mergeCell ref="I127:J127"/>
    <mergeCell ref="D130:D131"/>
    <mergeCell ref="F130:F131"/>
    <mergeCell ref="G130:H130"/>
    <mergeCell ref="I130:J130"/>
    <mergeCell ref="G135:H135"/>
    <mergeCell ref="I135:J135"/>
    <mergeCell ref="K135:L135"/>
    <mergeCell ref="M135:N135"/>
    <mergeCell ref="G148:H148"/>
    <mergeCell ref="I148:J148"/>
    <mergeCell ref="K148:L148"/>
    <mergeCell ref="M148:N148"/>
    <mergeCell ref="K130:L130"/>
    <mergeCell ref="M130:N130"/>
    <mergeCell ref="G161:H161"/>
    <mergeCell ref="I161:J161"/>
    <mergeCell ref="K161:L161"/>
    <mergeCell ref="M161:N161"/>
    <mergeCell ref="G168:H168"/>
    <mergeCell ref="I168:J168"/>
    <mergeCell ref="K168:L168"/>
    <mergeCell ref="M168:N168"/>
    <mergeCell ref="O148:P148"/>
    <mergeCell ref="G151:H151"/>
    <mergeCell ref="I151:J151"/>
    <mergeCell ref="G156:H156"/>
    <mergeCell ref="I156:J156"/>
    <mergeCell ref="K156:L156"/>
    <mergeCell ref="M156:N156"/>
  </mergeCells>
  <printOptions horizontalCentered="1"/>
  <pageMargins left="0" right="0" top="0.78740157480314965" bottom="0.98425196850393704" header="0.39370078740157483" footer="0.59055118110236227"/>
  <pageSetup paperSize="9" scale="90"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4"/>
  <sheetViews>
    <sheetView view="pageBreakPreview" topLeftCell="G1" zoomScaleNormal="90" zoomScaleSheetLayoutView="100" workbookViewId="0">
      <selection activeCell="J5" sqref="J5"/>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1.85546875" style="16" customWidth="1"/>
    <col min="7" max="7" width="13.5703125" style="95" customWidth="1"/>
    <col min="8" max="8" width="12.7109375" style="16" customWidth="1"/>
    <col min="9" max="9" width="13.140625" style="33" customWidth="1"/>
    <col min="10" max="10" width="8.85546875"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0" t="s">
        <v>142</v>
      </c>
      <c r="K4" s="357" t="s">
        <v>4</v>
      </c>
      <c r="L4" s="357" t="s">
        <v>3</v>
      </c>
      <c r="M4" s="100" t="s">
        <v>141</v>
      </c>
      <c r="N4" s="357" t="s">
        <v>140</v>
      </c>
      <c r="O4" s="429"/>
      <c r="P4" s="388"/>
      <c r="Q4" s="388"/>
      <c r="R4" s="2"/>
      <c r="S4" s="421"/>
    </row>
    <row r="5" spans="2:19" ht="23.25" customHeight="1" thickBot="1">
      <c r="D5" s="85"/>
      <c r="F5" s="176"/>
      <c r="G5" s="145"/>
      <c r="H5" s="136"/>
      <c r="I5" s="146"/>
      <c r="J5" s="146"/>
      <c r="K5" s="136"/>
      <c r="L5" s="136"/>
      <c r="M5" s="145" t="s">
        <v>381</v>
      </c>
      <c r="N5" s="136"/>
      <c r="O5" s="136"/>
      <c r="P5" s="136"/>
      <c r="Q5" s="86" t="s">
        <v>184</v>
      </c>
      <c r="R5" s="42"/>
      <c r="S5" s="220"/>
    </row>
    <row r="6" spans="2:19" ht="27" customHeight="1">
      <c r="B6" s="259" t="s">
        <v>264</v>
      </c>
      <c r="C6" s="3" t="s">
        <v>279</v>
      </c>
      <c r="D6" s="35">
        <v>521.12</v>
      </c>
      <c r="F6" s="35"/>
      <c r="G6" s="269"/>
      <c r="H6" s="269">
        <f>(J6-N6)*O6</f>
        <v>41961650.5</v>
      </c>
      <c r="I6" s="269">
        <f>J6*O6</f>
        <v>41961650.5</v>
      </c>
      <c r="J6" s="49">
        <v>6935.81</v>
      </c>
      <c r="K6" s="6"/>
      <c r="L6" s="28"/>
      <c r="M6" s="269">
        <f>N6*O6</f>
        <v>0</v>
      </c>
      <c r="N6" s="6">
        <v>0</v>
      </c>
      <c r="O6" s="359">
        <v>6050</v>
      </c>
      <c r="P6" s="6" t="s">
        <v>390</v>
      </c>
      <c r="Q6" s="6" t="s">
        <v>498</v>
      </c>
      <c r="R6" s="63" t="s">
        <v>158</v>
      </c>
      <c r="S6" s="358" t="s">
        <v>497</v>
      </c>
    </row>
    <row r="7" spans="2:19" ht="27" customHeight="1">
      <c r="B7" s="259" t="s">
        <v>264</v>
      </c>
      <c r="C7" s="3" t="s">
        <v>279</v>
      </c>
      <c r="D7" s="35">
        <v>521.12</v>
      </c>
      <c r="F7" s="35"/>
      <c r="G7" s="269">
        <f>(N7-J7)*O7</f>
        <v>13500000</v>
      </c>
      <c r="H7" s="269"/>
      <c r="I7" s="269">
        <f>J7*O7</f>
        <v>0</v>
      </c>
      <c r="J7" s="49">
        <v>0</v>
      </c>
      <c r="K7" s="6"/>
      <c r="L7" s="28"/>
      <c r="M7" s="269">
        <f>N7*O7</f>
        <v>13500000</v>
      </c>
      <c r="N7" s="6">
        <v>1080</v>
      </c>
      <c r="O7" s="22">
        <v>12500</v>
      </c>
      <c r="P7" s="6" t="s">
        <v>390</v>
      </c>
      <c r="Q7" s="6" t="s">
        <v>408</v>
      </c>
      <c r="R7" s="63" t="s">
        <v>158</v>
      </c>
      <c r="S7" s="34" t="s">
        <v>407</v>
      </c>
    </row>
    <row r="8" spans="2:19" ht="27" customHeight="1">
      <c r="B8" s="259">
        <v>500</v>
      </c>
      <c r="D8" s="35"/>
      <c r="F8" s="35"/>
      <c r="G8" s="269">
        <f t="shared" ref="G8:G18" si="0">(N8-J8)*O8</f>
        <v>8340000</v>
      </c>
      <c r="H8" s="269"/>
      <c r="I8" s="269">
        <f>J8*O8</f>
        <v>0</v>
      </c>
      <c r="J8" s="49">
        <v>0</v>
      </c>
      <c r="K8" s="6"/>
      <c r="L8" s="28"/>
      <c r="M8" s="269">
        <f>N8*O8</f>
        <v>8340000</v>
      </c>
      <c r="N8" s="6">
        <v>120</v>
      </c>
      <c r="O8" s="22">
        <v>69500</v>
      </c>
      <c r="P8" s="6" t="s">
        <v>390</v>
      </c>
      <c r="Q8" s="6" t="s">
        <v>410</v>
      </c>
      <c r="R8" s="63" t="s">
        <v>158</v>
      </c>
      <c r="S8" s="34" t="s">
        <v>409</v>
      </c>
    </row>
    <row r="9" spans="2:19" ht="27" customHeight="1">
      <c r="D9" s="35"/>
      <c r="F9" s="35"/>
      <c r="G9" s="269"/>
      <c r="H9" s="269">
        <f>(J9-N9)*O9</f>
        <v>4795875</v>
      </c>
      <c r="I9" s="269">
        <f>J9*O9</f>
        <v>4795875</v>
      </c>
      <c r="J9" s="49">
        <v>236.25</v>
      </c>
      <c r="K9" s="6"/>
      <c r="L9" s="28"/>
      <c r="M9" s="269">
        <f>N9*O9</f>
        <v>0</v>
      </c>
      <c r="N9" s="6">
        <v>0</v>
      </c>
      <c r="O9" s="359">
        <v>20300</v>
      </c>
      <c r="P9" s="6" t="s">
        <v>390</v>
      </c>
      <c r="Q9" s="6" t="s">
        <v>500</v>
      </c>
      <c r="R9" s="63" t="s">
        <v>158</v>
      </c>
      <c r="S9" s="358" t="s">
        <v>499</v>
      </c>
    </row>
    <row r="10" spans="2:19" ht="27" customHeight="1">
      <c r="B10" s="259">
        <v>300</v>
      </c>
      <c r="D10" s="20"/>
      <c r="F10" s="20"/>
      <c r="G10" s="269">
        <f t="shared" si="0"/>
        <v>1217280</v>
      </c>
      <c r="H10" s="269"/>
      <c r="I10" s="269">
        <f>J10*O10</f>
        <v>0</v>
      </c>
      <c r="J10" s="49">
        <v>0</v>
      </c>
      <c r="K10" s="6"/>
      <c r="L10" s="28"/>
      <c r="M10" s="269">
        <f>N10*O10</f>
        <v>1217280</v>
      </c>
      <c r="N10" s="6">
        <v>38.4</v>
      </c>
      <c r="O10" s="22">
        <v>31700</v>
      </c>
      <c r="P10" s="6" t="s">
        <v>390</v>
      </c>
      <c r="Q10" s="6" t="s">
        <v>388</v>
      </c>
      <c r="R10" s="63" t="s">
        <v>158</v>
      </c>
      <c r="S10" s="34" t="s">
        <v>411</v>
      </c>
    </row>
    <row r="11" spans="2:19" ht="27" customHeight="1">
      <c r="B11" s="259">
        <v>1050</v>
      </c>
      <c r="D11" s="20">
        <v>521.12</v>
      </c>
      <c r="F11" s="20"/>
      <c r="G11" s="269">
        <f t="shared" si="0"/>
        <v>7300800</v>
      </c>
      <c r="H11" s="269"/>
      <c r="I11" s="269">
        <f t="shared" ref="I11:I18" si="1">J11*O11</f>
        <v>0</v>
      </c>
      <c r="J11" s="49">
        <v>0</v>
      </c>
      <c r="K11" s="6"/>
      <c r="L11" s="28"/>
      <c r="M11" s="269">
        <f t="shared" ref="M11:M18" si="2">N11*O11</f>
        <v>7300800</v>
      </c>
      <c r="N11" s="6">
        <v>28.8</v>
      </c>
      <c r="O11" s="359">
        <v>253500</v>
      </c>
      <c r="P11" s="6" t="s">
        <v>390</v>
      </c>
      <c r="Q11" s="6" t="s">
        <v>389</v>
      </c>
      <c r="R11" s="63" t="s">
        <v>158</v>
      </c>
      <c r="S11" s="358" t="s">
        <v>412</v>
      </c>
    </row>
    <row r="12" spans="2:19" s="376" customFormat="1" ht="27" customHeight="1">
      <c r="B12" s="373" t="s">
        <v>257</v>
      </c>
      <c r="C12" s="374" t="s">
        <v>280</v>
      </c>
      <c r="D12" s="375">
        <v>496.94</v>
      </c>
      <c r="F12" s="375"/>
      <c r="G12" s="269"/>
      <c r="H12" s="269">
        <f t="shared" ref="H12:H13" si="3">(J12-N12)*O12</f>
        <v>17065.499999999996</v>
      </c>
      <c r="I12" s="269">
        <f t="shared" si="1"/>
        <v>127165.5</v>
      </c>
      <c r="J12" s="49">
        <v>34.65</v>
      </c>
      <c r="K12" s="6"/>
      <c r="L12" s="28"/>
      <c r="M12" s="269">
        <f t="shared" si="2"/>
        <v>110100</v>
      </c>
      <c r="N12" s="6">
        <v>30</v>
      </c>
      <c r="O12" s="365">
        <v>3670</v>
      </c>
      <c r="P12" s="6" t="s">
        <v>390</v>
      </c>
      <c r="Q12" s="6" t="s">
        <v>414</v>
      </c>
      <c r="R12" s="63" t="s">
        <v>158</v>
      </c>
      <c r="S12" s="364" t="s">
        <v>413</v>
      </c>
    </row>
    <row r="13" spans="2:19" ht="27" customHeight="1">
      <c r="D13" s="20"/>
      <c r="F13" s="20"/>
      <c r="G13" s="269"/>
      <c r="H13" s="269">
        <f t="shared" si="3"/>
        <v>1448325</v>
      </c>
      <c r="I13" s="269">
        <f t="shared" si="1"/>
        <v>1743525</v>
      </c>
      <c r="J13" s="49">
        <v>236.25</v>
      </c>
      <c r="K13" s="6"/>
      <c r="L13" s="28"/>
      <c r="M13" s="269">
        <f t="shared" si="2"/>
        <v>295200</v>
      </c>
      <c r="N13" s="6">
        <v>40</v>
      </c>
      <c r="O13" s="359">
        <v>7380</v>
      </c>
      <c r="P13" s="6" t="s">
        <v>390</v>
      </c>
      <c r="Q13" s="6" t="s">
        <v>416</v>
      </c>
      <c r="R13" s="63" t="s">
        <v>158</v>
      </c>
      <c r="S13" s="358" t="s">
        <v>415</v>
      </c>
    </row>
    <row r="14" spans="2:19" ht="27" customHeight="1">
      <c r="D14" s="20"/>
      <c r="F14" s="20"/>
      <c r="G14" s="269">
        <f t="shared" si="0"/>
        <v>21476530</v>
      </c>
      <c r="H14" s="269"/>
      <c r="I14" s="269">
        <f t="shared" si="1"/>
        <v>8331670</v>
      </c>
      <c r="J14" s="49">
        <v>404.45</v>
      </c>
      <c r="K14" s="6"/>
      <c r="L14" s="28"/>
      <c r="M14" s="269">
        <f t="shared" si="2"/>
        <v>29808200</v>
      </c>
      <c r="N14" s="6">
        <v>1447</v>
      </c>
      <c r="O14" s="359">
        <v>20600</v>
      </c>
      <c r="P14" s="6" t="s">
        <v>390</v>
      </c>
      <c r="Q14" s="6" t="s">
        <v>418</v>
      </c>
      <c r="R14" s="63" t="s">
        <v>158</v>
      </c>
      <c r="S14" s="358" t="s">
        <v>417</v>
      </c>
    </row>
    <row r="15" spans="2:19" ht="27" customHeight="1">
      <c r="D15" s="20"/>
      <c r="F15" s="20"/>
      <c r="G15" s="269">
        <f t="shared" si="0"/>
        <v>31686595.200000003</v>
      </c>
      <c r="H15" s="269"/>
      <c r="I15" s="269">
        <f>J15*O15</f>
        <v>36678960</v>
      </c>
      <c r="J15" s="49">
        <v>8490.5</v>
      </c>
      <c r="K15" s="6"/>
      <c r="L15" s="28"/>
      <c r="M15" s="269">
        <f>N15*O15</f>
        <v>68365555.200000003</v>
      </c>
      <c r="N15" s="6">
        <v>15825.36</v>
      </c>
      <c r="O15" s="359">
        <v>4320</v>
      </c>
      <c r="P15" s="6" t="s">
        <v>315</v>
      </c>
      <c r="Q15" s="6" t="s">
        <v>312</v>
      </c>
      <c r="R15" s="63" t="s">
        <v>158</v>
      </c>
      <c r="S15" s="358" t="s">
        <v>309</v>
      </c>
    </row>
    <row r="16" spans="2:19" ht="27" customHeight="1">
      <c r="D16" s="20"/>
      <c r="F16" s="20"/>
      <c r="G16" s="269"/>
      <c r="H16" s="269">
        <f>(J16-N16)*O16</f>
        <v>3328199.1000000103</v>
      </c>
      <c r="I16" s="269">
        <f>J16*O16</f>
        <v>91337719.5</v>
      </c>
      <c r="J16" s="49">
        <v>23241.15</v>
      </c>
      <c r="K16" s="6"/>
      <c r="L16" s="28"/>
      <c r="M16" s="269">
        <f>N16*O16</f>
        <v>88009520.399999991</v>
      </c>
      <c r="N16" s="6">
        <v>22394.28</v>
      </c>
      <c r="O16" s="359">
        <v>3930</v>
      </c>
      <c r="P16" s="6" t="s">
        <v>315</v>
      </c>
      <c r="Q16" s="6" t="s">
        <v>313</v>
      </c>
      <c r="R16" s="63" t="s">
        <v>158</v>
      </c>
      <c r="S16" s="358" t="s">
        <v>310</v>
      </c>
    </row>
    <row r="17" spans="2:20" ht="27" customHeight="1">
      <c r="D17" s="20"/>
      <c r="F17" s="20"/>
      <c r="G17" s="269"/>
      <c r="H17" s="269">
        <f>(J17-N17)*O17</f>
        <v>1206487.9999999998</v>
      </c>
      <c r="I17" s="269">
        <f>J17*O17</f>
        <v>4925312</v>
      </c>
      <c r="J17" s="49">
        <v>1070.72</v>
      </c>
      <c r="K17" s="6"/>
      <c r="L17" s="28"/>
      <c r="M17" s="269">
        <f>N17*O17</f>
        <v>3718824.0000000005</v>
      </c>
      <c r="N17" s="6">
        <v>808.44</v>
      </c>
      <c r="O17" s="359">
        <v>4600</v>
      </c>
      <c r="P17" s="6" t="s">
        <v>315</v>
      </c>
      <c r="Q17" s="6" t="s">
        <v>314</v>
      </c>
      <c r="R17" s="63" t="s">
        <v>158</v>
      </c>
      <c r="S17" s="358" t="s">
        <v>311</v>
      </c>
    </row>
    <row r="18" spans="2:20" ht="27" customHeight="1">
      <c r="D18" s="20"/>
      <c r="F18" s="20"/>
      <c r="G18" s="269">
        <f t="shared" si="0"/>
        <v>580450</v>
      </c>
      <c r="H18" s="269"/>
      <c r="I18" s="269">
        <f t="shared" si="1"/>
        <v>0</v>
      </c>
      <c r="J18" s="49">
        <v>0</v>
      </c>
      <c r="K18" s="6"/>
      <c r="L18" s="28"/>
      <c r="M18" s="269">
        <f t="shared" si="2"/>
        <v>580450</v>
      </c>
      <c r="N18" s="6">
        <v>247</v>
      </c>
      <c r="O18" s="359">
        <v>2350</v>
      </c>
      <c r="P18" s="6" t="s">
        <v>390</v>
      </c>
      <c r="Q18" s="6" t="s">
        <v>420</v>
      </c>
      <c r="R18" s="63" t="s">
        <v>158</v>
      </c>
      <c r="S18" s="358" t="s">
        <v>419</v>
      </c>
    </row>
    <row r="19" spans="2:20" ht="49.5" customHeight="1" thickBot="1">
      <c r="D19" s="116"/>
      <c r="F19" s="116"/>
      <c r="G19" s="337">
        <f>SUM(G6:G18)</f>
        <v>84101655.200000003</v>
      </c>
      <c r="H19" s="336">
        <f>SUM(H6:H18)</f>
        <v>52757603.100000009</v>
      </c>
      <c r="I19" s="402">
        <f>SUM(I6:I18)</f>
        <v>189901877.5</v>
      </c>
      <c r="J19" s="402"/>
      <c r="K19" s="400">
        <f>SUM(K7:K11)</f>
        <v>0</v>
      </c>
      <c r="L19" s="400"/>
      <c r="M19" s="400">
        <f>SUM(M7:M18)</f>
        <v>221245929.59999999</v>
      </c>
      <c r="N19" s="400"/>
      <c r="O19" s="39"/>
      <c r="P19" s="115"/>
      <c r="Q19" s="115" t="s">
        <v>5</v>
      </c>
      <c r="R19" s="8"/>
      <c r="S19" s="206"/>
    </row>
    <row r="20" spans="2:20" ht="49.5" customHeight="1" thickBot="1">
      <c r="D20" s="13"/>
      <c r="F20" s="13"/>
      <c r="G20" s="99"/>
      <c r="H20" s="37"/>
      <c r="I20" s="435">
        <f>M19+H19-G19</f>
        <v>189901877.5</v>
      </c>
      <c r="J20" s="435"/>
      <c r="K20" s="37"/>
      <c r="L20" s="37"/>
      <c r="M20" s="99"/>
      <c r="N20" s="37"/>
      <c r="O20" s="24"/>
      <c r="P20" s="9"/>
      <c r="Q20" s="9"/>
      <c r="R20" s="9"/>
      <c r="S20" s="208"/>
    </row>
    <row r="21" spans="2:20" ht="23.25" hidden="1" customHeight="1">
      <c r="D21" s="77"/>
      <c r="F21" s="173"/>
      <c r="G21" s="382" t="s">
        <v>300</v>
      </c>
      <c r="H21" s="382"/>
      <c r="I21" s="382" t="s">
        <v>145</v>
      </c>
      <c r="J21" s="382"/>
      <c r="K21" s="78"/>
      <c r="L21" s="78"/>
      <c r="M21" s="199"/>
      <c r="N21" s="78"/>
      <c r="O21" s="79"/>
      <c r="P21" s="78"/>
      <c r="Q21" s="80" t="s">
        <v>171</v>
      </c>
      <c r="R21" s="41"/>
      <c r="S21" s="219"/>
    </row>
    <row r="22" spans="2:20" ht="23.25" hidden="1" customHeight="1">
      <c r="D22" s="81"/>
      <c r="F22" s="174"/>
      <c r="G22" s="96"/>
      <c r="H22" s="82"/>
      <c r="I22" s="83"/>
      <c r="J22" s="143" t="s">
        <v>146</v>
      </c>
      <c r="K22" s="144"/>
      <c r="L22" s="144"/>
      <c r="M22" s="200"/>
      <c r="N22" s="144"/>
      <c r="O22" s="135"/>
      <c r="P22" s="144"/>
      <c r="Q22" s="84" t="s">
        <v>292</v>
      </c>
      <c r="R22" s="56"/>
      <c r="S22" s="175"/>
    </row>
    <row r="23" spans="2:20" ht="23.25" hidden="1" customHeight="1" thickBot="1">
      <c r="D23" s="85"/>
      <c r="F23" s="85"/>
      <c r="G23" s="145"/>
      <c r="H23" s="136"/>
      <c r="I23" s="146"/>
      <c r="J23" s="146"/>
      <c r="K23" s="136"/>
      <c r="L23" s="136"/>
      <c r="M23" s="145" t="s">
        <v>183</v>
      </c>
      <c r="N23" s="136"/>
      <c r="O23" s="136"/>
      <c r="P23" s="136"/>
      <c r="Q23" s="86" t="s">
        <v>184</v>
      </c>
      <c r="R23" s="42"/>
      <c r="S23" s="205"/>
    </row>
    <row r="24" spans="2:20" ht="25.5" hidden="1" customHeight="1">
      <c r="D24" s="385" t="s">
        <v>144</v>
      </c>
      <c r="F24" s="385" t="s">
        <v>144</v>
      </c>
      <c r="G24" s="406" t="s">
        <v>63</v>
      </c>
      <c r="H24" s="406"/>
      <c r="I24" s="409" t="s">
        <v>170</v>
      </c>
      <c r="J24" s="409"/>
      <c r="K24" s="401" t="s">
        <v>2</v>
      </c>
      <c r="L24" s="401"/>
      <c r="M24" s="401" t="s">
        <v>220</v>
      </c>
      <c r="N24" s="401"/>
      <c r="O24" s="426" t="s">
        <v>139</v>
      </c>
      <c r="P24" s="401" t="s">
        <v>1</v>
      </c>
      <c r="Q24" s="401" t="s">
        <v>138</v>
      </c>
      <c r="R24" s="62"/>
      <c r="S24" s="424" t="s">
        <v>0</v>
      </c>
    </row>
    <row r="25" spans="2:20" ht="25.5" hidden="1" customHeight="1">
      <c r="D25" s="386"/>
      <c r="F25" s="386"/>
      <c r="G25" s="97" t="s">
        <v>143</v>
      </c>
      <c r="H25" s="49" t="s">
        <v>142</v>
      </c>
      <c r="I25" s="49" t="s">
        <v>143</v>
      </c>
      <c r="J25" s="49" t="s">
        <v>142</v>
      </c>
      <c r="K25" s="1" t="s">
        <v>4</v>
      </c>
      <c r="L25" s="1" t="s">
        <v>3</v>
      </c>
      <c r="M25" s="100" t="s">
        <v>141</v>
      </c>
      <c r="N25" s="1" t="s">
        <v>140</v>
      </c>
      <c r="O25" s="427"/>
      <c r="P25" s="422"/>
      <c r="Q25" s="422"/>
      <c r="R25" s="2"/>
      <c r="S25" s="425"/>
    </row>
    <row r="26" spans="2:20" ht="30.75" hidden="1" customHeight="1">
      <c r="D26" s="111">
        <v>10848.34</v>
      </c>
      <c r="E26" s="109"/>
      <c r="F26" s="111"/>
      <c r="G26" s="100">
        <f t="shared" ref="G26:G41" si="4">H26*O26</f>
        <v>29289600</v>
      </c>
      <c r="H26" s="1">
        <v>10848</v>
      </c>
      <c r="I26" s="40">
        <f>J26*O26</f>
        <v>-9036900</v>
      </c>
      <c r="J26" s="49">
        <f>H26-N26</f>
        <v>-3347</v>
      </c>
      <c r="K26" s="6"/>
      <c r="L26" s="4"/>
      <c r="M26" s="191">
        <f t="shared" ref="M26:M41" si="5">N26*O26</f>
        <v>38326500</v>
      </c>
      <c r="N26" s="4">
        <v>14195</v>
      </c>
      <c r="O26" s="22">
        <v>2700</v>
      </c>
      <c r="P26" s="6" t="s">
        <v>35</v>
      </c>
      <c r="Q26" s="45" t="s">
        <v>152</v>
      </c>
      <c r="R26" s="63" t="s">
        <v>158</v>
      </c>
      <c r="S26" s="38" t="s">
        <v>71</v>
      </c>
      <c r="T26" s="30"/>
    </row>
    <row r="27" spans="2:20" ht="30.75" hidden="1" customHeight="1">
      <c r="D27" s="110">
        <v>1205.3599999999999</v>
      </c>
      <c r="E27" s="109"/>
      <c r="F27" s="110"/>
      <c r="G27" s="100">
        <f t="shared" si="4"/>
        <v>18195500</v>
      </c>
      <c r="H27" s="1">
        <v>1205</v>
      </c>
      <c r="I27" s="40">
        <f t="shared" ref="I27:I41" si="6">J27*O27</f>
        <v>18195500</v>
      </c>
      <c r="J27" s="49">
        <f t="shared" ref="J27:J40" si="7">H27-N27</f>
        <v>1205</v>
      </c>
      <c r="K27" s="6"/>
      <c r="L27" s="4"/>
      <c r="M27" s="191">
        <f t="shared" si="5"/>
        <v>0</v>
      </c>
      <c r="N27" s="4"/>
      <c r="O27" s="22">
        <v>15100</v>
      </c>
      <c r="P27" s="6" t="s">
        <v>35</v>
      </c>
      <c r="Q27" s="45" t="s">
        <v>73</v>
      </c>
      <c r="R27" s="63" t="s">
        <v>158</v>
      </c>
      <c r="S27" s="38" t="s">
        <v>72</v>
      </c>
      <c r="T27" s="30"/>
    </row>
    <row r="28" spans="2:20" ht="30.75" hidden="1" customHeight="1">
      <c r="B28" s="259">
        <v>1500</v>
      </c>
      <c r="D28" s="110">
        <v>1250</v>
      </c>
      <c r="E28" s="109"/>
      <c r="F28" s="110"/>
      <c r="G28" s="100">
        <f t="shared" si="4"/>
        <v>42900000</v>
      </c>
      <c r="H28" s="1">
        <f>1250+1500</f>
        <v>2750</v>
      </c>
      <c r="I28" s="40">
        <f t="shared" si="6"/>
        <v>42900000</v>
      </c>
      <c r="J28" s="49">
        <f t="shared" si="7"/>
        <v>2750</v>
      </c>
      <c r="K28" s="6"/>
      <c r="L28" s="4"/>
      <c r="M28" s="191">
        <f t="shared" si="5"/>
        <v>0</v>
      </c>
      <c r="N28" s="4"/>
      <c r="O28" s="22">
        <v>15600</v>
      </c>
      <c r="P28" s="6" t="s">
        <v>35</v>
      </c>
      <c r="Q28" s="45" t="s">
        <v>246</v>
      </c>
      <c r="R28" s="63" t="s">
        <v>158</v>
      </c>
      <c r="S28" s="38" t="s">
        <v>245</v>
      </c>
      <c r="T28" s="30"/>
    </row>
    <row r="29" spans="2:20" ht="30.75" hidden="1" customHeight="1">
      <c r="B29" s="259" t="s">
        <v>265</v>
      </c>
      <c r="C29" s="3" t="s">
        <v>281</v>
      </c>
      <c r="D29" s="110">
        <v>942</v>
      </c>
      <c r="E29" s="109"/>
      <c r="F29" s="110"/>
      <c r="G29" s="100">
        <f t="shared" si="4"/>
        <v>10413420</v>
      </c>
      <c r="H29" s="1">
        <f>942+1000*0.4+420</f>
        <v>1762</v>
      </c>
      <c r="I29" s="40">
        <f t="shared" si="6"/>
        <v>2139420</v>
      </c>
      <c r="J29" s="49">
        <f t="shared" si="7"/>
        <v>362</v>
      </c>
      <c r="K29" s="6"/>
      <c r="L29" s="4"/>
      <c r="M29" s="191">
        <f t="shared" si="5"/>
        <v>8274000</v>
      </c>
      <c r="N29" s="4">
        <v>1400</v>
      </c>
      <c r="O29" s="22">
        <v>5910</v>
      </c>
      <c r="P29" s="6" t="s">
        <v>35</v>
      </c>
      <c r="Q29" s="45" t="s">
        <v>75</v>
      </c>
      <c r="R29" s="63" t="s">
        <v>158</v>
      </c>
      <c r="S29" s="38" t="s">
        <v>74</v>
      </c>
      <c r="T29" s="30"/>
    </row>
    <row r="30" spans="2:20" ht="30.75" hidden="1" customHeight="1">
      <c r="B30" s="259" t="s">
        <v>266</v>
      </c>
      <c r="D30" s="110">
        <v>1152.5999999999999</v>
      </c>
      <c r="E30" s="109"/>
      <c r="F30" s="110"/>
      <c r="G30" s="100">
        <f t="shared" si="4"/>
        <v>40759200</v>
      </c>
      <c r="H30" s="1">
        <f>1152+2520</f>
        <v>3672</v>
      </c>
      <c r="I30" s="40">
        <f t="shared" si="6"/>
        <v>40759200</v>
      </c>
      <c r="J30" s="49">
        <f t="shared" si="7"/>
        <v>3672</v>
      </c>
      <c r="K30" s="6"/>
      <c r="L30" s="4"/>
      <c r="M30" s="191"/>
      <c r="N30" s="4"/>
      <c r="O30" s="22">
        <v>11100</v>
      </c>
      <c r="P30" s="6" t="s">
        <v>35</v>
      </c>
      <c r="Q30" s="45" t="s">
        <v>248</v>
      </c>
      <c r="R30" s="63" t="s">
        <v>158</v>
      </c>
      <c r="S30" s="38" t="s">
        <v>247</v>
      </c>
      <c r="T30" s="30"/>
    </row>
    <row r="31" spans="2:20" ht="30.75" hidden="1" customHeight="1">
      <c r="C31" s="3" t="s">
        <v>282</v>
      </c>
      <c r="D31" s="110">
        <v>1017.33</v>
      </c>
      <c r="E31" s="109"/>
      <c r="F31" s="110"/>
      <c r="G31" s="100">
        <f t="shared" si="4"/>
        <v>97239700</v>
      </c>
      <c r="H31" s="1">
        <f>1017+1000*0.5</f>
        <v>1517</v>
      </c>
      <c r="I31" s="40">
        <f t="shared" si="6"/>
        <v>-5320300</v>
      </c>
      <c r="J31" s="49">
        <f t="shared" si="7"/>
        <v>-83</v>
      </c>
      <c r="K31" s="6"/>
      <c r="L31" s="4"/>
      <c r="M31" s="191">
        <f t="shared" si="5"/>
        <v>102560000</v>
      </c>
      <c r="N31" s="4">
        <v>1600</v>
      </c>
      <c r="O31" s="22">
        <v>64100</v>
      </c>
      <c r="P31" s="6" t="s">
        <v>35</v>
      </c>
      <c r="Q31" s="45" t="s">
        <v>77</v>
      </c>
      <c r="R31" s="63" t="s">
        <v>158</v>
      </c>
      <c r="S31" s="38" t="s">
        <v>76</v>
      </c>
      <c r="T31" s="30"/>
    </row>
    <row r="32" spans="2:20" ht="30.75" hidden="1" customHeight="1">
      <c r="B32" s="259">
        <v>800</v>
      </c>
      <c r="D32" s="110"/>
      <c r="E32" s="109"/>
      <c r="F32" s="110"/>
      <c r="G32" s="100">
        <f t="shared" si="4"/>
        <v>740000</v>
      </c>
      <c r="H32" s="1">
        <v>800</v>
      </c>
      <c r="I32" s="40">
        <f t="shared" si="6"/>
        <v>740000</v>
      </c>
      <c r="J32" s="49">
        <f t="shared" si="7"/>
        <v>800</v>
      </c>
      <c r="K32" s="6"/>
      <c r="L32" s="4"/>
      <c r="M32" s="191">
        <f t="shared" si="5"/>
        <v>0</v>
      </c>
      <c r="N32" s="4"/>
      <c r="O32" s="22">
        <v>925</v>
      </c>
      <c r="P32" s="6" t="s">
        <v>35</v>
      </c>
      <c r="Q32" s="45" t="s">
        <v>80</v>
      </c>
      <c r="R32" s="63" t="s">
        <v>158</v>
      </c>
      <c r="S32" s="38" t="s">
        <v>78</v>
      </c>
      <c r="T32" s="30"/>
    </row>
    <row r="33" spans="2:20" ht="30.75" hidden="1" customHeight="1">
      <c r="D33" s="110"/>
      <c r="E33" s="109"/>
      <c r="F33" s="110"/>
      <c r="G33" s="100">
        <f t="shared" si="4"/>
        <v>2280000</v>
      </c>
      <c r="H33" s="1">
        <v>300</v>
      </c>
      <c r="I33" s="40">
        <f t="shared" si="6"/>
        <v>2280000</v>
      </c>
      <c r="J33" s="49">
        <f t="shared" si="7"/>
        <v>300</v>
      </c>
      <c r="K33" s="6"/>
      <c r="L33" s="4"/>
      <c r="M33" s="191">
        <f t="shared" si="5"/>
        <v>0</v>
      </c>
      <c r="N33" s="4"/>
      <c r="O33" s="22">
        <v>7600</v>
      </c>
      <c r="P33" s="6" t="s">
        <v>35</v>
      </c>
      <c r="Q33" s="45" t="s">
        <v>81</v>
      </c>
      <c r="R33" s="63" t="s">
        <v>158</v>
      </c>
      <c r="S33" s="38" t="s">
        <v>79</v>
      </c>
      <c r="T33" s="30"/>
    </row>
    <row r="34" spans="2:20" ht="30.75" hidden="1" customHeight="1">
      <c r="B34" s="259">
        <v>4200</v>
      </c>
      <c r="C34" s="3">
        <v>1000</v>
      </c>
      <c r="D34" s="110">
        <v>16823.82</v>
      </c>
      <c r="E34" s="109"/>
      <c r="F34" s="110"/>
      <c r="G34" s="100">
        <f t="shared" si="4"/>
        <v>66509460</v>
      </c>
      <c r="H34" s="203">
        <f>16823+1000+4200</f>
        <v>22023</v>
      </c>
      <c r="I34" s="40">
        <f t="shared" si="6"/>
        <v>57449460</v>
      </c>
      <c r="J34" s="49">
        <f t="shared" si="7"/>
        <v>19023</v>
      </c>
      <c r="K34" s="6"/>
      <c r="L34" s="4"/>
      <c r="M34" s="191">
        <f t="shared" si="5"/>
        <v>9060000</v>
      </c>
      <c r="N34" s="4">
        <v>3000</v>
      </c>
      <c r="O34" s="22">
        <v>3020</v>
      </c>
      <c r="P34" s="6" t="s">
        <v>35</v>
      </c>
      <c r="Q34" s="46" t="s">
        <v>41</v>
      </c>
      <c r="R34" s="63" t="s">
        <v>158</v>
      </c>
      <c r="S34" s="31" t="s">
        <v>37</v>
      </c>
      <c r="T34" s="29"/>
    </row>
    <row r="35" spans="2:20" ht="30.75" hidden="1" customHeight="1">
      <c r="B35" s="259" t="s">
        <v>267</v>
      </c>
      <c r="C35" s="3" t="s">
        <v>283</v>
      </c>
      <c r="D35" s="110">
        <v>67702.559999999998</v>
      </c>
      <c r="E35" s="109"/>
      <c r="F35" s="110"/>
      <c r="G35" s="100">
        <f t="shared" si="4"/>
        <v>23453030</v>
      </c>
      <c r="H35" s="1">
        <f>67702+4*1000+4200*4</f>
        <v>88502</v>
      </c>
      <c r="I35" s="40">
        <f t="shared" si="6"/>
        <v>20273030</v>
      </c>
      <c r="J35" s="49">
        <f t="shared" si="7"/>
        <v>76502</v>
      </c>
      <c r="K35" s="6"/>
      <c r="L35" s="4"/>
      <c r="M35" s="191">
        <f t="shared" si="5"/>
        <v>3180000</v>
      </c>
      <c r="N35" s="4">
        <v>12000</v>
      </c>
      <c r="O35" s="22">
        <v>265</v>
      </c>
      <c r="P35" s="6" t="s">
        <v>35</v>
      </c>
      <c r="Q35" s="46" t="s">
        <v>42</v>
      </c>
      <c r="R35" s="63" t="s">
        <v>158</v>
      </c>
      <c r="S35" s="31" t="s">
        <v>38</v>
      </c>
      <c r="T35" s="29"/>
    </row>
    <row r="36" spans="2:20" ht="30.75" hidden="1" customHeight="1">
      <c r="B36" s="259" t="s">
        <v>268</v>
      </c>
      <c r="C36" s="3" t="s">
        <v>284</v>
      </c>
      <c r="D36" s="110">
        <v>161360.4</v>
      </c>
      <c r="E36" s="109"/>
      <c r="F36" s="110"/>
      <c r="G36" s="100">
        <f t="shared" si="4"/>
        <v>183612800</v>
      </c>
      <c r="H36" s="1">
        <f>161360+5*1000+4200*5</f>
        <v>187360</v>
      </c>
      <c r="I36" s="40">
        <f t="shared" si="6"/>
        <v>4466840</v>
      </c>
      <c r="J36" s="49">
        <f t="shared" si="7"/>
        <v>4558</v>
      </c>
      <c r="K36" s="6"/>
      <c r="L36" s="4"/>
      <c r="M36" s="191">
        <f t="shared" si="5"/>
        <v>179145960</v>
      </c>
      <c r="N36" s="4">
        <v>182802</v>
      </c>
      <c r="O36" s="22">
        <v>980</v>
      </c>
      <c r="P36" s="6" t="s">
        <v>44</v>
      </c>
      <c r="Q36" s="46" t="s">
        <v>222</v>
      </c>
      <c r="R36" s="63" t="s">
        <v>158</v>
      </c>
      <c r="S36" s="31" t="s">
        <v>39</v>
      </c>
      <c r="T36" s="29"/>
    </row>
    <row r="37" spans="2:20" ht="30.75" hidden="1" customHeight="1">
      <c r="D37" s="110">
        <v>103500</v>
      </c>
      <c r="E37" s="109"/>
      <c r="F37" s="110"/>
      <c r="G37" s="100">
        <f t="shared" si="4"/>
        <v>92632500</v>
      </c>
      <c r="H37" s="1">
        <v>103500</v>
      </c>
      <c r="I37" s="40">
        <f t="shared" si="6"/>
        <v>-10292500</v>
      </c>
      <c r="J37" s="49">
        <f t="shared" si="7"/>
        <v>-11500</v>
      </c>
      <c r="K37" s="6"/>
      <c r="L37" s="4"/>
      <c r="M37" s="191">
        <f t="shared" si="5"/>
        <v>102925000</v>
      </c>
      <c r="N37" s="4">
        <v>115000</v>
      </c>
      <c r="O37" s="22">
        <v>895</v>
      </c>
      <c r="P37" s="6" t="s">
        <v>44</v>
      </c>
      <c r="Q37" s="46" t="s">
        <v>223</v>
      </c>
      <c r="R37" s="63" t="s">
        <v>158</v>
      </c>
      <c r="S37" s="31" t="s">
        <v>221</v>
      </c>
      <c r="T37" s="29"/>
    </row>
    <row r="38" spans="2:20" ht="30.75" hidden="1" customHeight="1">
      <c r="B38" s="259" t="s">
        <v>269</v>
      </c>
      <c r="C38" s="3" t="s">
        <v>285</v>
      </c>
      <c r="D38" s="110">
        <v>8037.38</v>
      </c>
      <c r="E38" s="109"/>
      <c r="F38" s="110"/>
      <c r="G38" s="100">
        <f t="shared" si="4"/>
        <v>14662800</v>
      </c>
      <c r="H38" s="1">
        <f>8037+780*0.5*5+2232</f>
        <v>12219</v>
      </c>
      <c r="I38" s="40">
        <f t="shared" si="6"/>
        <v>14662800</v>
      </c>
      <c r="J38" s="49">
        <f t="shared" si="7"/>
        <v>12219</v>
      </c>
      <c r="K38" s="6"/>
      <c r="L38" s="4"/>
      <c r="M38" s="191">
        <f t="shared" si="5"/>
        <v>0</v>
      </c>
      <c r="N38" s="4"/>
      <c r="O38" s="105">
        <v>1200</v>
      </c>
      <c r="P38" s="10" t="s">
        <v>44</v>
      </c>
      <c r="Q38" s="47" t="s">
        <v>43</v>
      </c>
      <c r="R38" s="63" t="s">
        <v>158</v>
      </c>
      <c r="S38" s="31" t="s">
        <v>40</v>
      </c>
      <c r="T38" s="29"/>
    </row>
    <row r="39" spans="2:20" ht="30.75" hidden="1" customHeight="1">
      <c r="D39" s="110">
        <v>23833.7</v>
      </c>
      <c r="E39" s="109"/>
      <c r="F39" s="110"/>
      <c r="G39" s="100">
        <f t="shared" si="4"/>
        <v>412300000</v>
      </c>
      <c r="H39" s="1">
        <f>H41+H139</f>
        <v>11780</v>
      </c>
      <c r="I39" s="40">
        <f t="shared" si="6"/>
        <v>-791420000</v>
      </c>
      <c r="J39" s="49">
        <f t="shared" si="7"/>
        <v>-22612</v>
      </c>
      <c r="K39" s="6"/>
      <c r="L39" s="4"/>
      <c r="M39" s="192">
        <f t="shared" si="5"/>
        <v>1203720000</v>
      </c>
      <c r="N39" s="4">
        <v>34392</v>
      </c>
      <c r="O39" s="105">
        <v>35000</v>
      </c>
      <c r="P39" s="6" t="s">
        <v>35</v>
      </c>
      <c r="Q39" s="48" t="s">
        <v>225</v>
      </c>
      <c r="R39" s="63" t="s">
        <v>158</v>
      </c>
      <c r="S39" s="31" t="s">
        <v>224</v>
      </c>
      <c r="T39" s="29"/>
    </row>
    <row r="40" spans="2:20" ht="30.75" hidden="1" customHeight="1">
      <c r="D40" s="112"/>
      <c r="E40" s="109"/>
      <c r="F40" s="112"/>
      <c r="G40" s="100">
        <f t="shared" si="4"/>
        <v>2060000</v>
      </c>
      <c r="H40" s="1">
        <v>4000</v>
      </c>
      <c r="I40" s="40">
        <f t="shared" si="6"/>
        <v>2060000</v>
      </c>
      <c r="J40" s="49">
        <f t="shared" si="7"/>
        <v>4000</v>
      </c>
      <c r="K40" s="6"/>
      <c r="L40" s="4"/>
      <c r="M40" s="191">
        <f t="shared" si="5"/>
        <v>0</v>
      </c>
      <c r="N40" s="4"/>
      <c r="O40" s="105">
        <v>515</v>
      </c>
      <c r="P40" s="6" t="s">
        <v>35</v>
      </c>
      <c r="Q40" s="48" t="s">
        <v>154</v>
      </c>
      <c r="R40" s="63" t="s">
        <v>158</v>
      </c>
      <c r="S40" s="31" t="s">
        <v>153</v>
      </c>
      <c r="T40" s="29"/>
    </row>
    <row r="41" spans="2:20" ht="30.75" hidden="1" customHeight="1">
      <c r="D41" s="122">
        <v>4500</v>
      </c>
      <c r="E41" s="109"/>
      <c r="F41" s="122"/>
      <c r="G41" s="100">
        <f t="shared" si="4"/>
        <v>306000000</v>
      </c>
      <c r="H41" s="224">
        <v>4500</v>
      </c>
      <c r="I41" s="40">
        <f t="shared" si="6"/>
        <v>-34000000</v>
      </c>
      <c r="J41" s="49">
        <f>H41-N41</f>
        <v>-500</v>
      </c>
      <c r="K41" s="7"/>
      <c r="L41" s="59"/>
      <c r="M41" s="191">
        <f t="shared" si="5"/>
        <v>340000000</v>
      </c>
      <c r="N41" s="59">
        <v>5000</v>
      </c>
      <c r="O41" s="225">
        <v>68000</v>
      </c>
      <c r="P41" s="6" t="s">
        <v>35</v>
      </c>
      <c r="Q41" s="226" t="s">
        <v>227</v>
      </c>
      <c r="R41" s="63" t="s">
        <v>158</v>
      </c>
      <c r="S41" s="227" t="s">
        <v>226</v>
      </c>
      <c r="T41" s="29"/>
    </row>
    <row r="42" spans="2:20" ht="34.5" hidden="1" customHeight="1" thickBot="1">
      <c r="D42" s="118"/>
      <c r="E42" s="109"/>
      <c r="F42" s="118"/>
      <c r="G42" s="397">
        <f>SUM(G26:G41)</f>
        <v>1343048010</v>
      </c>
      <c r="H42" s="398"/>
      <c r="I42" s="402">
        <f>SUM(I26:I41)</f>
        <v>-644143450</v>
      </c>
      <c r="J42" s="402"/>
      <c r="K42" s="400">
        <f>SUM(K26:K40)</f>
        <v>0</v>
      </c>
      <c r="L42" s="400"/>
      <c r="M42" s="400">
        <f>SUM(M26:M41)</f>
        <v>1987191460</v>
      </c>
      <c r="N42" s="400"/>
      <c r="O42" s="119"/>
      <c r="P42" s="117"/>
      <c r="Q42" s="114" t="s">
        <v>5</v>
      </c>
      <c r="R42" s="8" t="s">
        <v>158</v>
      </c>
      <c r="S42" s="209"/>
      <c r="T42" s="29"/>
    </row>
    <row r="43" spans="2:20" ht="49.5" hidden="1" customHeight="1" thickBot="1">
      <c r="D43" s="13"/>
      <c r="F43" s="13"/>
      <c r="G43" s="101"/>
      <c r="H43" s="44"/>
      <c r="I43" s="51"/>
      <c r="J43" s="51"/>
      <c r="K43" s="44"/>
      <c r="L43" s="44"/>
      <c r="M43" s="101"/>
      <c r="N43" s="44"/>
      <c r="O43" s="106"/>
      <c r="P43" s="44"/>
      <c r="Q43" s="19"/>
      <c r="R43" s="70"/>
      <c r="S43" s="210"/>
      <c r="T43" s="29"/>
    </row>
    <row r="44" spans="2:20" ht="23.25" hidden="1" customHeight="1">
      <c r="D44" s="173"/>
      <c r="F44" s="173"/>
      <c r="G44" s="382" t="s">
        <v>300</v>
      </c>
      <c r="H44" s="382"/>
      <c r="I44" s="382" t="s">
        <v>145</v>
      </c>
      <c r="J44" s="382"/>
      <c r="K44" s="78"/>
      <c r="L44" s="78"/>
      <c r="M44" s="199"/>
      <c r="N44" s="78"/>
      <c r="O44" s="79"/>
      <c r="P44" s="78"/>
      <c r="Q44" s="80" t="s">
        <v>171</v>
      </c>
      <c r="R44" s="41"/>
      <c r="S44" s="219"/>
    </row>
    <row r="45" spans="2:20" ht="23.25" hidden="1" customHeight="1">
      <c r="D45" s="174"/>
      <c r="F45" s="174"/>
      <c r="G45" s="96"/>
      <c r="H45" s="82"/>
      <c r="I45" s="83"/>
      <c r="J45" s="143" t="s">
        <v>146</v>
      </c>
      <c r="K45" s="144"/>
      <c r="L45" s="144"/>
      <c r="M45" s="200"/>
      <c r="N45" s="144"/>
      <c r="O45" s="135"/>
      <c r="P45" s="144"/>
      <c r="Q45" s="84" t="s">
        <v>292</v>
      </c>
      <c r="R45" s="56"/>
      <c r="S45" s="175"/>
    </row>
    <row r="46" spans="2:20" ht="25.5" hidden="1" customHeight="1" thickBot="1">
      <c r="D46" s="176"/>
      <c r="F46" s="176"/>
      <c r="G46" s="145"/>
      <c r="H46" s="136"/>
      <c r="I46" s="146"/>
      <c r="J46" s="146"/>
      <c r="K46" s="136"/>
      <c r="L46" s="136"/>
      <c r="M46" s="145" t="s">
        <v>183</v>
      </c>
      <c r="N46" s="136"/>
      <c r="O46" s="136"/>
      <c r="P46" s="136"/>
      <c r="Q46" s="86" t="s">
        <v>185</v>
      </c>
      <c r="R46" s="42"/>
      <c r="S46" s="220"/>
    </row>
    <row r="47" spans="2:20" ht="25.5" hidden="1" customHeight="1">
      <c r="C47" s="3" t="s">
        <v>288</v>
      </c>
      <c r="D47" s="249">
        <v>462.4</v>
      </c>
      <c r="F47" s="249"/>
      <c r="G47" s="250">
        <f>H47*O47</f>
        <v>44737000</v>
      </c>
      <c r="H47" s="251">
        <f>462+100*7</f>
        <v>1162</v>
      </c>
      <c r="I47" s="40">
        <f>J47*O47</f>
        <v>42427000</v>
      </c>
      <c r="J47" s="268">
        <f>H47-N47</f>
        <v>1102</v>
      </c>
      <c r="K47" s="251"/>
      <c r="L47" s="251"/>
      <c r="M47" s="252">
        <f>N47*O47</f>
        <v>2310000</v>
      </c>
      <c r="N47" s="253">
        <v>60</v>
      </c>
      <c r="O47" s="254">
        <v>38500</v>
      </c>
      <c r="P47" s="255" t="s">
        <v>187</v>
      </c>
      <c r="Q47" s="256" t="s">
        <v>229</v>
      </c>
      <c r="R47" s="257"/>
      <c r="S47" s="258" t="s">
        <v>228</v>
      </c>
    </row>
    <row r="48" spans="2:20" ht="30.75" hidden="1" customHeight="1">
      <c r="B48" s="259">
        <v>1099</v>
      </c>
      <c r="D48" s="228">
        <v>900</v>
      </c>
      <c r="E48" s="109"/>
      <c r="F48" s="228"/>
      <c r="G48" s="100">
        <f t="shared" ref="G48:G61" si="8">H48*O48</f>
        <v>184307800</v>
      </c>
      <c r="H48" s="1">
        <f>900+1099</f>
        <v>1999</v>
      </c>
      <c r="I48" s="40">
        <f t="shared" ref="I48:I61" si="9">J48*O48</f>
        <v>168910400</v>
      </c>
      <c r="J48" s="49">
        <f t="shared" ref="J48:J61" si="10">H48-N48</f>
        <v>1832</v>
      </c>
      <c r="K48" s="1"/>
      <c r="L48" s="1"/>
      <c r="M48" s="242">
        <f t="shared" ref="M48:M61" si="11">N48*O48</f>
        <v>15397400</v>
      </c>
      <c r="N48" s="231">
        <v>167</v>
      </c>
      <c r="O48" s="232">
        <v>92200</v>
      </c>
      <c r="P48" s="229" t="s">
        <v>187</v>
      </c>
      <c r="Q48" s="230" t="s">
        <v>186</v>
      </c>
      <c r="R48" s="63"/>
      <c r="S48" s="34" t="s">
        <v>230</v>
      </c>
    </row>
    <row r="49" spans="2:20" ht="30.75" hidden="1" customHeight="1">
      <c r="D49" s="111"/>
      <c r="E49" s="109"/>
      <c r="F49" s="111"/>
      <c r="G49" s="100">
        <f t="shared" si="8"/>
        <v>0</v>
      </c>
      <c r="H49" s="1"/>
      <c r="I49" s="40">
        <f t="shared" si="9"/>
        <v>0</v>
      </c>
      <c r="J49" s="49">
        <f t="shared" si="10"/>
        <v>0</v>
      </c>
      <c r="K49" s="4"/>
      <c r="L49" s="4"/>
      <c r="M49" s="242">
        <f t="shared" si="11"/>
        <v>0</v>
      </c>
      <c r="N49" s="231"/>
      <c r="O49" s="233">
        <v>104000</v>
      </c>
      <c r="P49" s="152" t="s">
        <v>187</v>
      </c>
      <c r="Q49" s="123" t="s">
        <v>188</v>
      </c>
      <c r="R49" s="63" t="s">
        <v>158</v>
      </c>
      <c r="S49" s="38" t="s">
        <v>83</v>
      </c>
    </row>
    <row r="50" spans="2:20" ht="30.75" hidden="1" customHeight="1">
      <c r="D50" s="111"/>
      <c r="E50" s="109"/>
      <c r="F50" s="111"/>
      <c r="G50" s="100">
        <f t="shared" si="8"/>
        <v>0</v>
      </c>
      <c r="H50" s="1"/>
      <c r="I50" s="40">
        <f t="shared" si="9"/>
        <v>0</v>
      </c>
      <c r="J50" s="49">
        <f t="shared" si="10"/>
        <v>0</v>
      </c>
      <c r="K50" s="4"/>
      <c r="L50" s="4"/>
      <c r="M50" s="242">
        <f t="shared" si="11"/>
        <v>0</v>
      </c>
      <c r="N50" s="231"/>
      <c r="O50" s="234">
        <v>259500</v>
      </c>
      <c r="P50" s="153" t="s">
        <v>187</v>
      </c>
      <c r="Q50" s="124" t="s">
        <v>189</v>
      </c>
      <c r="R50" s="63" t="s">
        <v>158</v>
      </c>
      <c r="S50" s="38" t="s">
        <v>180</v>
      </c>
    </row>
    <row r="51" spans="2:20" ht="30.75" hidden="1" customHeight="1">
      <c r="B51" s="259">
        <v>2000</v>
      </c>
      <c r="D51" s="111">
        <v>1897.39</v>
      </c>
      <c r="E51" s="109"/>
      <c r="F51" s="111"/>
      <c r="G51" s="100">
        <f t="shared" si="8"/>
        <v>1077511000</v>
      </c>
      <c r="H51" s="1">
        <f>1897+2200</f>
        <v>4097</v>
      </c>
      <c r="I51" s="40">
        <f t="shared" si="9"/>
        <v>827398000</v>
      </c>
      <c r="J51" s="49">
        <f t="shared" si="10"/>
        <v>3146</v>
      </c>
      <c r="K51" s="4"/>
      <c r="L51" s="4"/>
      <c r="M51" s="242">
        <f t="shared" si="11"/>
        <v>250113000</v>
      </c>
      <c r="N51" s="231">
        <v>951</v>
      </c>
      <c r="O51" s="235">
        <v>263000</v>
      </c>
      <c r="P51" s="154" t="s">
        <v>187</v>
      </c>
      <c r="Q51" s="125" t="s">
        <v>190</v>
      </c>
      <c r="R51" s="63" t="s">
        <v>158</v>
      </c>
      <c r="S51" s="38" t="s">
        <v>172</v>
      </c>
    </row>
    <row r="52" spans="2:20" ht="30.75" hidden="1" customHeight="1">
      <c r="B52" s="259">
        <v>2000</v>
      </c>
      <c r="D52" s="111">
        <v>1860.03</v>
      </c>
      <c r="E52" s="109"/>
      <c r="F52" s="111"/>
      <c r="G52" s="100">
        <f t="shared" si="8"/>
        <v>220458000</v>
      </c>
      <c r="H52" s="1">
        <f>1860+2200</f>
        <v>4060</v>
      </c>
      <c r="I52" s="40">
        <f t="shared" si="9"/>
        <v>168818700</v>
      </c>
      <c r="J52" s="49">
        <f t="shared" si="10"/>
        <v>3109</v>
      </c>
      <c r="K52" s="4"/>
      <c r="L52" s="4"/>
      <c r="M52" s="242">
        <f t="shared" si="11"/>
        <v>51639300</v>
      </c>
      <c r="N52" s="231">
        <v>951</v>
      </c>
      <c r="O52" s="236">
        <v>54300</v>
      </c>
      <c r="P52" s="155" t="s">
        <v>187</v>
      </c>
      <c r="Q52" s="126" t="s">
        <v>191</v>
      </c>
      <c r="R52" s="63" t="s">
        <v>158</v>
      </c>
      <c r="S52" s="38" t="s">
        <v>173</v>
      </c>
    </row>
    <row r="53" spans="2:20" ht="30.75" hidden="1" customHeight="1">
      <c r="B53" s="259">
        <v>1400</v>
      </c>
      <c r="D53" s="111">
        <v>1964.98</v>
      </c>
      <c r="E53" s="109"/>
      <c r="F53" s="111"/>
      <c r="G53" s="100">
        <f t="shared" si="8"/>
        <v>225388000</v>
      </c>
      <c r="H53" s="1">
        <f>1964+1400</f>
        <v>3364</v>
      </c>
      <c r="I53" s="40">
        <f t="shared" si="9"/>
        <v>134469000</v>
      </c>
      <c r="J53" s="49">
        <f t="shared" si="10"/>
        <v>2007</v>
      </c>
      <c r="K53" s="4"/>
      <c r="L53" s="4"/>
      <c r="M53" s="242">
        <f t="shared" si="11"/>
        <v>90919000</v>
      </c>
      <c r="N53" s="231">
        <v>1357</v>
      </c>
      <c r="O53" s="237">
        <v>67000</v>
      </c>
      <c r="P53" s="156" t="s">
        <v>82</v>
      </c>
      <c r="Q53" s="127" t="s">
        <v>215</v>
      </c>
      <c r="R53" s="63" t="s">
        <v>158</v>
      </c>
      <c r="S53" s="38" t="s">
        <v>214</v>
      </c>
    </row>
    <row r="54" spans="2:20" ht="30.75" hidden="1" customHeight="1">
      <c r="D54" s="111"/>
      <c r="E54" s="109"/>
      <c r="F54" s="111"/>
      <c r="G54" s="100">
        <f t="shared" si="8"/>
        <v>0</v>
      </c>
      <c r="H54" s="1"/>
      <c r="I54" s="40">
        <f t="shared" si="9"/>
        <v>0</v>
      </c>
      <c r="J54" s="49">
        <f t="shared" si="10"/>
        <v>0</v>
      </c>
      <c r="K54" s="4"/>
      <c r="L54" s="4"/>
      <c r="M54" s="242">
        <f t="shared" si="11"/>
        <v>0</v>
      </c>
      <c r="N54" s="231"/>
      <c r="O54" s="238">
        <v>24300</v>
      </c>
      <c r="P54" s="157" t="s">
        <v>187</v>
      </c>
      <c r="Q54" s="128" t="s">
        <v>192</v>
      </c>
      <c r="R54" s="63" t="s">
        <v>158</v>
      </c>
      <c r="S54" s="38" t="s">
        <v>174</v>
      </c>
    </row>
    <row r="55" spans="2:20" ht="30.75" hidden="1" customHeight="1">
      <c r="D55" s="111"/>
      <c r="E55" s="109"/>
      <c r="F55" s="111"/>
      <c r="G55" s="100">
        <f t="shared" si="8"/>
        <v>0</v>
      </c>
      <c r="H55" s="1"/>
      <c r="I55" s="40">
        <f t="shared" si="9"/>
        <v>0</v>
      </c>
      <c r="J55" s="49">
        <f t="shared" si="10"/>
        <v>0</v>
      </c>
      <c r="K55" s="4"/>
      <c r="L55" s="4"/>
      <c r="M55" s="242">
        <f t="shared" si="11"/>
        <v>0</v>
      </c>
      <c r="N55" s="231"/>
      <c r="O55" s="238">
        <v>664000</v>
      </c>
      <c r="P55" s="157" t="s">
        <v>187</v>
      </c>
      <c r="Q55" s="128" t="s">
        <v>261</v>
      </c>
      <c r="R55" s="63" t="s">
        <v>158</v>
      </c>
      <c r="S55" s="38" t="s">
        <v>260</v>
      </c>
    </row>
    <row r="56" spans="2:20" ht="30.75" hidden="1" customHeight="1">
      <c r="B56" s="259">
        <v>70</v>
      </c>
      <c r="D56" s="111"/>
      <c r="E56" s="109"/>
      <c r="F56" s="111"/>
      <c r="G56" s="100">
        <f t="shared" si="8"/>
        <v>2394000</v>
      </c>
      <c r="H56" s="1">
        <v>70</v>
      </c>
      <c r="I56" s="40">
        <f t="shared" si="9"/>
        <v>2394000</v>
      </c>
      <c r="J56" s="49">
        <f t="shared" si="10"/>
        <v>70</v>
      </c>
      <c r="K56" s="4"/>
      <c r="L56" s="4"/>
      <c r="M56" s="242">
        <f t="shared" si="11"/>
        <v>0</v>
      </c>
      <c r="N56" s="231"/>
      <c r="O56" s="238">
        <v>34200</v>
      </c>
      <c r="P56" s="157" t="s">
        <v>187</v>
      </c>
      <c r="Q56" s="262" t="s">
        <v>259</v>
      </c>
      <c r="R56" s="63" t="s">
        <v>158</v>
      </c>
      <c r="S56" s="38" t="s">
        <v>258</v>
      </c>
    </row>
    <row r="57" spans="2:20" ht="30.75" hidden="1" customHeight="1">
      <c r="D57" s="111">
        <v>328.27</v>
      </c>
      <c r="E57" s="109"/>
      <c r="F57" s="111"/>
      <c r="G57" s="100">
        <f t="shared" si="8"/>
        <v>9118400</v>
      </c>
      <c r="H57" s="1">
        <f>328</f>
        <v>328</v>
      </c>
      <c r="I57" s="40">
        <f t="shared" si="9"/>
        <v>3558400</v>
      </c>
      <c r="J57" s="49">
        <f t="shared" si="10"/>
        <v>128</v>
      </c>
      <c r="K57" s="4"/>
      <c r="L57" s="4"/>
      <c r="M57" s="242">
        <f t="shared" si="11"/>
        <v>5560000</v>
      </c>
      <c r="N57" s="231">
        <v>200</v>
      </c>
      <c r="O57" s="239">
        <v>27800</v>
      </c>
      <c r="P57" s="157" t="s">
        <v>187</v>
      </c>
      <c r="Q57" s="129" t="s">
        <v>194</v>
      </c>
      <c r="R57" s="63" t="s">
        <v>158</v>
      </c>
      <c r="S57" s="38" t="s">
        <v>175</v>
      </c>
    </row>
    <row r="58" spans="2:20" ht="30.75" hidden="1" customHeight="1">
      <c r="D58" s="111">
        <v>964.17</v>
      </c>
      <c r="E58" s="109"/>
      <c r="F58" s="111"/>
      <c r="G58" s="100">
        <f t="shared" si="8"/>
        <v>29787600</v>
      </c>
      <c r="H58" s="1">
        <v>964</v>
      </c>
      <c r="I58" s="40">
        <f t="shared" si="9"/>
        <v>2163000</v>
      </c>
      <c r="J58" s="49">
        <f t="shared" si="10"/>
        <v>70</v>
      </c>
      <c r="K58" s="4"/>
      <c r="L58" s="4"/>
      <c r="M58" s="242">
        <f t="shared" si="11"/>
        <v>27624600</v>
      </c>
      <c r="N58" s="231">
        <v>894</v>
      </c>
      <c r="O58" s="240">
        <v>30900</v>
      </c>
      <c r="P58" s="158" t="s">
        <v>82</v>
      </c>
      <c r="Q58" s="130" t="s">
        <v>193</v>
      </c>
      <c r="R58" s="63" t="s">
        <v>158</v>
      </c>
      <c r="S58" s="38" t="s">
        <v>176</v>
      </c>
    </row>
    <row r="59" spans="2:20" ht="30.75" hidden="1" customHeight="1">
      <c r="B59" s="259" t="s">
        <v>293</v>
      </c>
      <c r="C59" s="3" t="s">
        <v>289</v>
      </c>
      <c r="D59" s="110">
        <v>27261</v>
      </c>
      <c r="E59" s="109"/>
      <c r="F59" s="110"/>
      <c r="G59" s="100">
        <f t="shared" si="8"/>
        <v>55821780</v>
      </c>
      <c r="H59" s="1">
        <f>27261+700*9+2000*9*1.3</f>
        <v>56961</v>
      </c>
      <c r="I59" s="40">
        <f t="shared" si="9"/>
        <v>44388120</v>
      </c>
      <c r="J59" s="49">
        <f t="shared" si="10"/>
        <v>45294</v>
      </c>
      <c r="K59" s="4"/>
      <c r="L59" s="4"/>
      <c r="M59" s="242">
        <f t="shared" si="11"/>
        <v>11433660</v>
      </c>
      <c r="N59" s="231">
        <v>11667</v>
      </c>
      <c r="O59" s="241">
        <v>980</v>
      </c>
      <c r="P59" s="6" t="s">
        <v>44</v>
      </c>
      <c r="Q59" s="45" t="s">
        <v>84</v>
      </c>
      <c r="R59" s="63" t="s">
        <v>158</v>
      </c>
      <c r="S59" s="38" t="s">
        <v>85</v>
      </c>
    </row>
    <row r="60" spans="2:20" ht="30.75" hidden="1" customHeight="1">
      <c r="B60" s="259" t="s">
        <v>294</v>
      </c>
      <c r="C60" s="3" t="s">
        <v>290</v>
      </c>
      <c r="D60" s="110">
        <v>76580.14</v>
      </c>
      <c r="E60" s="109"/>
      <c r="F60" s="110"/>
      <c r="G60" s="100">
        <f t="shared" si="8"/>
        <v>127609100</v>
      </c>
      <c r="H60" s="1">
        <f>76580+700*20+2000*20*1.3</f>
        <v>142580</v>
      </c>
      <c r="I60" s="40">
        <f t="shared" si="9"/>
        <v>104405330</v>
      </c>
      <c r="J60" s="49">
        <f t="shared" si="10"/>
        <v>116654</v>
      </c>
      <c r="K60" s="4"/>
      <c r="L60" s="4"/>
      <c r="M60" s="242">
        <f t="shared" si="11"/>
        <v>23203770</v>
      </c>
      <c r="N60" s="231">
        <v>25926</v>
      </c>
      <c r="O60" s="241">
        <v>895</v>
      </c>
      <c r="P60" s="6" t="s">
        <v>44</v>
      </c>
      <c r="Q60" s="45" t="s">
        <v>181</v>
      </c>
      <c r="R60" s="63" t="s">
        <v>158</v>
      </c>
      <c r="S60" s="38" t="s">
        <v>128</v>
      </c>
    </row>
    <row r="61" spans="2:20" ht="30.75" hidden="1" customHeight="1">
      <c r="B61" s="259" t="s">
        <v>295</v>
      </c>
      <c r="D61" s="122">
        <v>53865.71</v>
      </c>
      <c r="E61" s="109"/>
      <c r="F61" s="122"/>
      <c r="G61" s="100">
        <f t="shared" si="8"/>
        <v>68257475</v>
      </c>
      <c r="H61" s="58">
        <f>53865+2000*16*1.3</f>
        <v>95465</v>
      </c>
      <c r="I61" s="40">
        <f t="shared" si="9"/>
        <v>54114060</v>
      </c>
      <c r="J61" s="49">
        <f t="shared" si="10"/>
        <v>75684</v>
      </c>
      <c r="K61" s="59"/>
      <c r="L61" s="59"/>
      <c r="M61" s="242">
        <f t="shared" si="11"/>
        <v>14143415</v>
      </c>
      <c r="N61" s="231">
        <v>19781</v>
      </c>
      <c r="O61" s="241">
        <v>715</v>
      </c>
      <c r="P61" s="6" t="s">
        <v>44</v>
      </c>
      <c r="Q61" s="45" t="s">
        <v>157</v>
      </c>
      <c r="R61" s="63" t="s">
        <v>158</v>
      </c>
      <c r="S61" s="61" t="s">
        <v>156</v>
      </c>
    </row>
    <row r="62" spans="2:20" ht="36.75" hidden="1" customHeight="1" thickBot="1">
      <c r="D62" s="131"/>
      <c r="F62" s="131"/>
      <c r="G62" s="397">
        <f>SUM(G47:G61)</f>
        <v>2045390155</v>
      </c>
      <c r="H62" s="398"/>
      <c r="I62" s="399">
        <f>SUM(I47:I61)</f>
        <v>1553046010</v>
      </c>
      <c r="J62" s="399"/>
      <c r="K62" s="411">
        <f>SUM(K49:K60)</f>
        <v>0</v>
      </c>
      <c r="L62" s="411"/>
      <c r="M62" s="411">
        <f>SUM(M47:M61)</f>
        <v>492344145</v>
      </c>
      <c r="N62" s="411"/>
      <c r="O62" s="133"/>
      <c r="P62" s="132"/>
      <c r="Q62" s="134" t="s">
        <v>86</v>
      </c>
      <c r="R62" s="8" t="s">
        <v>158</v>
      </c>
      <c r="S62" s="209"/>
      <c r="T62" s="29"/>
    </row>
    <row r="63" spans="2:20" ht="49.5" hidden="1" customHeight="1" thickBot="1">
      <c r="D63" s="89"/>
      <c r="F63" s="89"/>
      <c r="G63" s="102"/>
      <c r="H63" s="92"/>
      <c r="I63" s="93"/>
      <c r="J63" s="93"/>
      <c r="K63" s="92"/>
      <c r="L63" s="92"/>
      <c r="M63" s="102"/>
      <c r="N63" s="92"/>
      <c r="O63" s="107"/>
      <c r="P63" s="92"/>
      <c r="Q63" s="94"/>
      <c r="R63" s="69"/>
      <c r="S63" s="211"/>
      <c r="T63" s="29"/>
    </row>
    <row r="64" spans="2:20" ht="23.25" hidden="1" customHeight="1">
      <c r="D64" s="77"/>
      <c r="F64" s="173"/>
      <c r="G64" s="382" t="s">
        <v>300</v>
      </c>
      <c r="H64" s="382"/>
      <c r="I64" s="382" t="s">
        <v>145</v>
      </c>
      <c r="J64" s="382"/>
      <c r="K64" s="78"/>
      <c r="L64" s="78"/>
      <c r="M64" s="199"/>
      <c r="N64" s="78"/>
      <c r="O64" s="79"/>
      <c r="P64" s="78"/>
      <c r="Q64" s="80" t="s">
        <v>171</v>
      </c>
      <c r="R64" s="41"/>
      <c r="S64" s="219"/>
    </row>
    <row r="65" spans="2:20" ht="23.25" hidden="1" customHeight="1">
      <c r="D65" s="81"/>
      <c r="F65" s="174"/>
      <c r="G65" s="96"/>
      <c r="H65" s="82"/>
      <c r="I65" s="83"/>
      <c r="J65" s="143" t="s">
        <v>146</v>
      </c>
      <c r="K65" s="144"/>
      <c r="L65" s="144"/>
      <c r="M65" s="200"/>
      <c r="N65" s="144"/>
      <c r="O65" s="135"/>
      <c r="P65" s="144"/>
      <c r="Q65" s="84" t="s">
        <v>292</v>
      </c>
      <c r="R65" s="56"/>
      <c r="S65" s="175"/>
    </row>
    <row r="66" spans="2:20" ht="23.25" hidden="1" customHeight="1" thickBot="1">
      <c r="D66" s="85"/>
      <c r="F66" s="85"/>
      <c r="G66" s="145"/>
      <c r="H66" s="136"/>
      <c r="I66" s="146"/>
      <c r="J66" s="146"/>
      <c r="K66" s="136"/>
      <c r="L66" s="136"/>
      <c r="M66" s="145" t="s">
        <v>183</v>
      </c>
      <c r="N66" s="136"/>
      <c r="O66" s="136"/>
      <c r="P66" s="136"/>
      <c r="Q66" s="86" t="s">
        <v>195</v>
      </c>
      <c r="R66" s="42"/>
      <c r="S66" s="205"/>
    </row>
    <row r="67" spans="2:20" ht="25.5" hidden="1" customHeight="1">
      <c r="D67" s="385" t="s">
        <v>144</v>
      </c>
      <c r="F67" s="385" t="s">
        <v>144</v>
      </c>
      <c r="G67" s="406" t="s">
        <v>63</v>
      </c>
      <c r="H67" s="406"/>
      <c r="I67" s="409" t="s">
        <v>170</v>
      </c>
      <c r="J67" s="409"/>
      <c r="K67" s="401" t="s">
        <v>2</v>
      </c>
      <c r="L67" s="401"/>
      <c r="M67" s="401" t="s">
        <v>169</v>
      </c>
      <c r="N67" s="401"/>
      <c r="O67" s="426" t="s">
        <v>139</v>
      </c>
      <c r="P67" s="401" t="s">
        <v>1</v>
      </c>
      <c r="Q67" s="401" t="s">
        <v>138</v>
      </c>
      <c r="R67" s="62"/>
      <c r="S67" s="424" t="s">
        <v>0</v>
      </c>
    </row>
    <row r="68" spans="2:20" ht="25.5" hidden="1" customHeight="1">
      <c r="D68" s="386"/>
      <c r="F68" s="386"/>
      <c r="G68" s="97" t="s">
        <v>143</v>
      </c>
      <c r="H68" s="49" t="s">
        <v>142</v>
      </c>
      <c r="I68" s="49" t="s">
        <v>143</v>
      </c>
      <c r="J68" s="49" t="s">
        <v>142</v>
      </c>
      <c r="K68" s="1" t="s">
        <v>4</v>
      </c>
      <c r="L68" s="1" t="s">
        <v>3</v>
      </c>
      <c r="M68" s="100" t="s">
        <v>141</v>
      </c>
      <c r="N68" s="1" t="s">
        <v>140</v>
      </c>
      <c r="O68" s="427"/>
      <c r="P68" s="422"/>
      <c r="Q68" s="422"/>
      <c r="R68" s="2"/>
      <c r="S68" s="425"/>
    </row>
    <row r="69" spans="2:20" ht="34.5" hidden="1" customHeight="1">
      <c r="D69" s="35"/>
      <c r="F69" s="35"/>
      <c r="G69" s="100">
        <f>H69*O69</f>
        <v>0</v>
      </c>
      <c r="H69" s="1"/>
      <c r="I69" s="40">
        <f>J69*O69</f>
        <v>0</v>
      </c>
      <c r="J69" s="49">
        <f>H69-N69</f>
        <v>0</v>
      </c>
      <c r="K69" s="6"/>
      <c r="L69" s="4"/>
      <c r="M69" s="191"/>
      <c r="N69" s="4"/>
      <c r="O69" s="147">
        <v>25900</v>
      </c>
      <c r="P69" s="159" t="s">
        <v>82</v>
      </c>
      <c r="Q69" s="137" t="s">
        <v>196</v>
      </c>
      <c r="R69" s="63" t="s">
        <v>158</v>
      </c>
      <c r="S69" s="38" t="s">
        <v>177</v>
      </c>
      <c r="T69" s="29"/>
    </row>
    <row r="70" spans="2:20" ht="34.5" hidden="1" customHeight="1">
      <c r="D70" s="35"/>
      <c r="F70" s="35"/>
      <c r="G70" s="100">
        <f>H70*O70</f>
        <v>0</v>
      </c>
      <c r="H70" s="1"/>
      <c r="I70" s="40">
        <f>J70*O70</f>
        <v>0</v>
      </c>
      <c r="J70" s="49">
        <f>H70-N70</f>
        <v>0</v>
      </c>
      <c r="K70" s="6"/>
      <c r="L70" s="4"/>
      <c r="M70" s="191"/>
      <c r="N70" s="4"/>
      <c r="O70" s="148">
        <v>39700</v>
      </c>
      <c r="P70" s="160" t="s">
        <v>82</v>
      </c>
      <c r="Q70" s="138" t="s">
        <v>197</v>
      </c>
      <c r="R70" s="63" t="s">
        <v>158</v>
      </c>
      <c r="S70" s="38" t="s">
        <v>178</v>
      </c>
      <c r="T70" s="29"/>
    </row>
    <row r="71" spans="2:20" ht="34.5" hidden="1" customHeight="1">
      <c r="B71" s="259">
        <v>1613</v>
      </c>
      <c r="D71" s="35">
        <v>1964.98</v>
      </c>
      <c r="F71" s="35"/>
      <c r="G71" s="100">
        <f>H71*O71</f>
        <v>29689100</v>
      </c>
      <c r="H71" s="1">
        <f>1964+1613</f>
        <v>3577</v>
      </c>
      <c r="I71" s="40">
        <f>J71*O71</f>
        <v>18426000</v>
      </c>
      <c r="J71" s="49">
        <f>H71-N71</f>
        <v>2220</v>
      </c>
      <c r="K71" s="6"/>
      <c r="L71" s="4"/>
      <c r="M71" s="191">
        <f>N71*O71</f>
        <v>11263100</v>
      </c>
      <c r="N71" s="4">
        <v>1357</v>
      </c>
      <c r="O71" s="149">
        <v>8300</v>
      </c>
      <c r="P71" s="161" t="s">
        <v>82</v>
      </c>
      <c r="Q71" s="222" t="s">
        <v>217</v>
      </c>
      <c r="R71" s="63" t="s">
        <v>158</v>
      </c>
      <c r="S71" s="38" t="s">
        <v>216</v>
      </c>
      <c r="T71" s="29"/>
    </row>
    <row r="72" spans="2:20" ht="34.5" hidden="1" customHeight="1">
      <c r="D72" s="35">
        <v>333.12</v>
      </c>
      <c r="F72" s="35"/>
      <c r="G72" s="100">
        <f>H72*O72</f>
        <v>1698300</v>
      </c>
      <c r="H72" s="1">
        <v>333</v>
      </c>
      <c r="I72" s="40">
        <f>J72*O72</f>
        <v>234600</v>
      </c>
      <c r="J72" s="49">
        <f>H72-N72</f>
        <v>46</v>
      </c>
      <c r="K72" s="6"/>
      <c r="L72" s="4"/>
      <c r="M72" s="191">
        <f>N72*O72</f>
        <v>1463700</v>
      </c>
      <c r="N72" s="4">
        <v>287</v>
      </c>
      <c r="O72" s="150">
        <v>5100</v>
      </c>
      <c r="P72" s="162" t="s">
        <v>82</v>
      </c>
      <c r="Q72" s="139" t="s">
        <v>198</v>
      </c>
      <c r="R72" s="63" t="s">
        <v>158</v>
      </c>
      <c r="S72" s="38" t="s">
        <v>179</v>
      </c>
      <c r="T72" s="29"/>
    </row>
    <row r="73" spans="2:20" ht="33.75" hidden="1" customHeight="1" thickBot="1">
      <c r="D73" s="21"/>
      <c r="F73" s="21"/>
      <c r="G73" s="395">
        <f>SUM(G69:G72)</f>
        <v>31387400</v>
      </c>
      <c r="H73" s="396"/>
      <c r="I73" s="416">
        <f>SUM(I69:I72)</f>
        <v>18660600</v>
      </c>
      <c r="J73" s="417"/>
      <c r="K73" s="8">
        <f>L73*O73</f>
        <v>0</v>
      </c>
      <c r="L73" s="15"/>
      <c r="M73" s="418">
        <f>SUM(M71:M72)</f>
        <v>12726800</v>
      </c>
      <c r="N73" s="419"/>
      <c r="O73" s="23"/>
      <c r="P73" s="8"/>
      <c r="Q73" s="134" t="s">
        <v>199</v>
      </c>
      <c r="R73" s="120" t="s">
        <v>158</v>
      </c>
      <c r="S73" s="121"/>
      <c r="T73" s="29"/>
    </row>
    <row r="74" spans="2:20" ht="25.5" hidden="1" customHeight="1" thickBot="1">
      <c r="D74" s="85"/>
      <c r="F74" s="85"/>
      <c r="G74" s="145"/>
      <c r="H74" s="136"/>
      <c r="I74" s="146"/>
      <c r="J74" s="146"/>
      <c r="K74" s="136"/>
      <c r="L74" s="136"/>
      <c r="M74" s="145" t="s">
        <v>183</v>
      </c>
      <c r="N74" s="136"/>
      <c r="O74" s="136"/>
      <c r="P74" s="136"/>
      <c r="Q74" s="86" t="s">
        <v>200</v>
      </c>
      <c r="R74" s="42"/>
      <c r="S74" s="205"/>
    </row>
    <row r="75" spans="2:20" ht="30" hidden="1" customHeight="1">
      <c r="B75" s="259" t="s">
        <v>262</v>
      </c>
      <c r="C75" s="3">
        <v>300</v>
      </c>
      <c r="D75" s="91">
        <v>184.4</v>
      </c>
      <c r="F75" s="91"/>
      <c r="G75" s="141">
        <f>H75*O75</f>
        <v>50483200</v>
      </c>
      <c r="H75" s="49">
        <f>184+300+540</f>
        <v>1024</v>
      </c>
      <c r="I75" s="40">
        <f>J75*O75</f>
        <v>39144200</v>
      </c>
      <c r="J75" s="49">
        <f>H75-N75</f>
        <v>794</v>
      </c>
      <c r="K75" s="1"/>
      <c r="L75" s="1"/>
      <c r="M75" s="243">
        <f>N75*O75</f>
        <v>11339000</v>
      </c>
      <c r="N75" s="244">
        <v>230</v>
      </c>
      <c r="O75" s="151">
        <v>49300</v>
      </c>
      <c r="P75" s="163" t="s">
        <v>82</v>
      </c>
      <c r="Q75" s="140" t="s">
        <v>201</v>
      </c>
      <c r="R75" s="63" t="s">
        <v>158</v>
      </c>
      <c r="S75" s="212">
        <v>80101</v>
      </c>
    </row>
    <row r="76" spans="2:20" ht="33" hidden="1" customHeight="1">
      <c r="C76" s="3">
        <v>30</v>
      </c>
      <c r="D76" s="20"/>
      <c r="F76" s="20"/>
      <c r="G76" s="141">
        <f t="shared" ref="G76:G85" si="12">H76*O76</f>
        <v>2082000</v>
      </c>
      <c r="H76" s="1">
        <v>30</v>
      </c>
      <c r="I76" s="40">
        <f t="shared" ref="I76:I85" si="13">J76*O76</f>
        <v>2082000</v>
      </c>
      <c r="J76" s="49">
        <f t="shared" ref="J76:J85" si="14">H76-N76</f>
        <v>30</v>
      </c>
      <c r="K76" s="6"/>
      <c r="L76" s="4"/>
      <c r="M76" s="243">
        <f t="shared" ref="M76:M85" si="15">N76*O76</f>
        <v>0</v>
      </c>
      <c r="N76" s="245"/>
      <c r="O76" s="246">
        <v>69400</v>
      </c>
      <c r="P76" s="6" t="s">
        <v>36</v>
      </c>
      <c r="Q76" s="45" t="s">
        <v>203</v>
      </c>
      <c r="R76" s="63" t="s">
        <v>158</v>
      </c>
      <c r="S76" s="38" t="s">
        <v>114</v>
      </c>
    </row>
    <row r="77" spans="2:20" ht="33" hidden="1" customHeight="1">
      <c r="C77" s="3">
        <v>100</v>
      </c>
      <c r="D77" s="20"/>
      <c r="F77" s="20"/>
      <c r="G77" s="141">
        <f t="shared" si="12"/>
        <v>9650000</v>
      </c>
      <c r="H77" s="1">
        <v>100</v>
      </c>
      <c r="I77" s="40">
        <f t="shared" si="13"/>
        <v>-59830000</v>
      </c>
      <c r="J77" s="49">
        <f t="shared" si="14"/>
        <v>-620</v>
      </c>
      <c r="K77" s="6"/>
      <c r="L77" s="4"/>
      <c r="M77" s="243">
        <f t="shared" si="15"/>
        <v>69480000</v>
      </c>
      <c r="N77" s="245">
        <v>720</v>
      </c>
      <c r="O77" s="246">
        <v>96500</v>
      </c>
      <c r="P77" s="6" t="s">
        <v>36</v>
      </c>
      <c r="Q77" s="45" t="s">
        <v>104</v>
      </c>
      <c r="R77" s="63" t="s">
        <v>158</v>
      </c>
      <c r="S77" s="38" t="s">
        <v>103</v>
      </c>
    </row>
    <row r="78" spans="2:20" ht="33" hidden="1" customHeight="1">
      <c r="C78" s="266">
        <v>600</v>
      </c>
      <c r="D78" s="20"/>
      <c r="F78" s="20"/>
      <c r="G78" s="141">
        <f t="shared" si="12"/>
        <v>53750000</v>
      </c>
      <c r="H78" s="1">
        <v>500</v>
      </c>
      <c r="I78" s="40">
        <f t="shared" si="13"/>
        <v>53750000</v>
      </c>
      <c r="J78" s="49">
        <f t="shared" si="14"/>
        <v>500</v>
      </c>
      <c r="K78" s="6"/>
      <c r="L78" s="4"/>
      <c r="M78" s="243">
        <f t="shared" si="15"/>
        <v>0</v>
      </c>
      <c r="N78" s="245"/>
      <c r="O78" s="246">
        <v>107500</v>
      </c>
      <c r="P78" s="6" t="s">
        <v>36</v>
      </c>
      <c r="Q78" s="45" t="s">
        <v>130</v>
      </c>
      <c r="R78" s="63" t="s">
        <v>158</v>
      </c>
      <c r="S78" s="38" t="s">
        <v>129</v>
      </c>
    </row>
    <row r="79" spans="2:20" ht="33" hidden="1" customHeight="1">
      <c r="C79" s="266">
        <v>470</v>
      </c>
      <c r="D79" s="20"/>
      <c r="F79" s="20"/>
      <c r="G79" s="141">
        <f t="shared" si="12"/>
        <v>42000000</v>
      </c>
      <c r="H79" s="1">
        <v>350</v>
      </c>
      <c r="I79" s="40">
        <f t="shared" si="13"/>
        <v>42000000</v>
      </c>
      <c r="J79" s="49">
        <f t="shared" si="14"/>
        <v>350</v>
      </c>
      <c r="K79" s="6"/>
      <c r="L79" s="4"/>
      <c r="M79" s="243">
        <f t="shared" si="15"/>
        <v>0</v>
      </c>
      <c r="N79" s="245"/>
      <c r="O79" s="246">
        <v>120000</v>
      </c>
      <c r="P79" s="6" t="s">
        <v>36</v>
      </c>
      <c r="Q79" s="45" t="s">
        <v>116</v>
      </c>
      <c r="R79" s="63" t="s">
        <v>158</v>
      </c>
      <c r="S79" s="38" t="s">
        <v>115</v>
      </c>
    </row>
    <row r="80" spans="2:20" ht="33" hidden="1" customHeight="1">
      <c r="D80" s="20">
        <v>1521.75</v>
      </c>
      <c r="F80" s="20"/>
      <c r="G80" s="141">
        <f t="shared" si="12"/>
        <v>238036500</v>
      </c>
      <c r="H80" s="1">
        <v>1521</v>
      </c>
      <c r="I80" s="40">
        <f t="shared" si="13"/>
        <v>-5164500</v>
      </c>
      <c r="J80" s="49">
        <f t="shared" si="14"/>
        <v>-33</v>
      </c>
      <c r="K80" s="6"/>
      <c r="L80" s="4"/>
      <c r="M80" s="243">
        <f t="shared" si="15"/>
        <v>243201000</v>
      </c>
      <c r="N80" s="245">
        <v>1554</v>
      </c>
      <c r="O80" s="246">
        <v>156500</v>
      </c>
      <c r="P80" s="6" t="s">
        <v>36</v>
      </c>
      <c r="Q80" s="45" t="s">
        <v>232</v>
      </c>
      <c r="R80" s="63" t="s">
        <v>158</v>
      </c>
      <c r="S80" s="38" t="s">
        <v>231</v>
      </c>
    </row>
    <row r="81" spans="2:19" ht="33" hidden="1" customHeight="1">
      <c r="D81" s="20"/>
      <c r="F81" s="20"/>
      <c r="G81" s="141">
        <f t="shared" si="12"/>
        <v>0</v>
      </c>
      <c r="H81" s="1"/>
      <c r="I81" s="40">
        <f t="shared" si="13"/>
        <v>0</v>
      </c>
      <c r="J81" s="49">
        <f t="shared" si="14"/>
        <v>0</v>
      </c>
      <c r="K81" s="6"/>
      <c r="L81" s="4"/>
      <c r="M81" s="243">
        <f t="shared" si="15"/>
        <v>0</v>
      </c>
      <c r="N81" s="245"/>
      <c r="O81" s="246">
        <v>37500</v>
      </c>
      <c r="P81" s="6" t="s">
        <v>36</v>
      </c>
      <c r="Q81" s="45" t="s">
        <v>147</v>
      </c>
      <c r="R81" s="63" t="s">
        <v>158</v>
      </c>
      <c r="S81" s="36" t="s">
        <v>132</v>
      </c>
    </row>
    <row r="82" spans="2:19" ht="33" hidden="1" customHeight="1">
      <c r="D82" s="20"/>
      <c r="F82" s="20"/>
      <c r="G82" s="141">
        <f t="shared" si="12"/>
        <v>0</v>
      </c>
      <c r="H82" s="1"/>
      <c r="I82" s="40">
        <f t="shared" si="13"/>
        <v>0</v>
      </c>
      <c r="J82" s="49">
        <f t="shared" si="14"/>
        <v>0</v>
      </c>
      <c r="K82" s="6"/>
      <c r="L82" s="4"/>
      <c r="M82" s="243">
        <f t="shared" si="15"/>
        <v>0</v>
      </c>
      <c r="N82" s="245"/>
      <c r="O82" s="246">
        <v>32400</v>
      </c>
      <c r="P82" s="6" t="s">
        <v>36</v>
      </c>
      <c r="Q82" s="45" t="s">
        <v>133</v>
      </c>
      <c r="R82" s="63" t="s">
        <v>158</v>
      </c>
      <c r="S82" s="36" t="s">
        <v>131</v>
      </c>
    </row>
    <row r="83" spans="2:19" ht="33" hidden="1" customHeight="1">
      <c r="D83" s="20"/>
      <c r="F83" s="20"/>
      <c r="G83" s="141">
        <f t="shared" si="12"/>
        <v>0</v>
      </c>
      <c r="H83" s="1"/>
      <c r="I83" s="40">
        <f t="shared" si="13"/>
        <v>0</v>
      </c>
      <c r="J83" s="49">
        <f t="shared" si="14"/>
        <v>0</v>
      </c>
      <c r="K83" s="6"/>
      <c r="L83" s="4"/>
      <c r="M83" s="243">
        <f t="shared" si="15"/>
        <v>0</v>
      </c>
      <c r="N83" s="245"/>
      <c r="O83" s="246">
        <v>13400</v>
      </c>
      <c r="P83" s="6" t="s">
        <v>36</v>
      </c>
      <c r="Q83" s="46" t="s">
        <v>90</v>
      </c>
      <c r="R83" s="63" t="s">
        <v>158</v>
      </c>
      <c r="S83" s="36" t="s">
        <v>88</v>
      </c>
    </row>
    <row r="84" spans="2:19" ht="33" hidden="1" customHeight="1">
      <c r="B84" s="259">
        <v>5520</v>
      </c>
      <c r="C84" s="3">
        <v>3500</v>
      </c>
      <c r="D84" s="20">
        <v>7547.5</v>
      </c>
      <c r="F84" s="20"/>
      <c r="G84" s="141">
        <f t="shared" si="12"/>
        <v>88799120</v>
      </c>
      <c r="H84" s="1">
        <f>7547+3500+5520</f>
        <v>16567</v>
      </c>
      <c r="I84" s="40">
        <f t="shared" si="13"/>
        <v>84484320</v>
      </c>
      <c r="J84" s="49">
        <f t="shared" si="14"/>
        <v>15762</v>
      </c>
      <c r="K84" s="6"/>
      <c r="L84" s="4"/>
      <c r="M84" s="243">
        <f t="shared" si="15"/>
        <v>4314800</v>
      </c>
      <c r="N84" s="245">
        <v>805</v>
      </c>
      <c r="O84" s="246">
        <v>5360</v>
      </c>
      <c r="P84" s="4" t="s">
        <v>47</v>
      </c>
      <c r="Q84" s="46" t="s">
        <v>46</v>
      </c>
      <c r="R84" s="63" t="s">
        <v>158</v>
      </c>
      <c r="S84" s="36" t="s">
        <v>45</v>
      </c>
    </row>
    <row r="85" spans="2:19" ht="33" hidden="1" customHeight="1">
      <c r="C85" s="3">
        <v>300</v>
      </c>
      <c r="D85" s="20"/>
      <c r="F85" s="20"/>
      <c r="G85" s="141">
        <f t="shared" si="12"/>
        <v>18960000</v>
      </c>
      <c r="H85" s="1">
        <v>300</v>
      </c>
      <c r="I85" s="40">
        <f t="shared" si="13"/>
        <v>18960000</v>
      </c>
      <c r="J85" s="49">
        <f t="shared" si="14"/>
        <v>300</v>
      </c>
      <c r="K85" s="6"/>
      <c r="L85" s="4"/>
      <c r="M85" s="243">
        <f t="shared" si="15"/>
        <v>0</v>
      </c>
      <c r="N85" s="245"/>
      <c r="O85" s="246">
        <v>63200</v>
      </c>
      <c r="P85" s="6" t="s">
        <v>36</v>
      </c>
      <c r="Q85" s="46" t="s">
        <v>87</v>
      </c>
      <c r="R85" s="63" t="s">
        <v>158</v>
      </c>
      <c r="S85" s="36" t="s">
        <v>89</v>
      </c>
    </row>
    <row r="86" spans="2:19" ht="33" hidden="1" customHeight="1" thickBot="1">
      <c r="D86" s="142"/>
      <c r="F86" s="142"/>
      <c r="G86" s="412">
        <f>SUM(G75:G85)</f>
        <v>503760820</v>
      </c>
      <c r="H86" s="413"/>
      <c r="I86" s="399">
        <f>SUM(I75:I85)</f>
        <v>175426020</v>
      </c>
      <c r="J86" s="399"/>
      <c r="K86" s="411">
        <f>SUM(K74:K85)</f>
        <v>0</v>
      </c>
      <c r="L86" s="411"/>
      <c r="M86" s="411">
        <f>SUM(M75:M85)</f>
        <v>328334800</v>
      </c>
      <c r="N86" s="411"/>
      <c r="O86" s="133"/>
      <c r="P86" s="132"/>
      <c r="Q86" s="132" t="s">
        <v>6</v>
      </c>
      <c r="R86" s="8"/>
      <c r="S86" s="209"/>
    </row>
    <row r="87" spans="2:19" ht="49.5" hidden="1" customHeight="1" thickBot="1">
      <c r="D87" s="13"/>
      <c r="F87" s="13"/>
      <c r="G87" s="99"/>
      <c r="H87" s="37"/>
      <c r="I87" s="50"/>
      <c r="J87" s="50"/>
      <c r="K87" s="37"/>
      <c r="L87" s="37"/>
      <c r="M87" s="99"/>
      <c r="N87" s="37"/>
      <c r="O87" s="24"/>
      <c r="P87" s="9"/>
      <c r="Q87" s="9"/>
      <c r="R87" s="70"/>
      <c r="S87" s="208"/>
    </row>
    <row r="88" spans="2:19" ht="25.5" hidden="1" customHeight="1">
      <c r="D88" s="77"/>
      <c r="F88" s="173"/>
      <c r="G88" s="382" t="s">
        <v>300</v>
      </c>
      <c r="H88" s="382"/>
      <c r="I88" s="382" t="s">
        <v>145</v>
      </c>
      <c r="J88" s="382"/>
      <c r="K88" s="78"/>
      <c r="L88" s="78"/>
      <c r="M88" s="199"/>
      <c r="N88" s="78"/>
      <c r="O88" s="79"/>
      <c r="P88" s="78"/>
      <c r="Q88" s="80" t="s">
        <v>171</v>
      </c>
      <c r="R88" s="41"/>
      <c r="S88" s="219"/>
    </row>
    <row r="89" spans="2:19" ht="25.5" hidden="1" customHeight="1">
      <c r="D89" s="81"/>
      <c r="F89" s="174"/>
      <c r="G89" s="96"/>
      <c r="H89" s="82"/>
      <c r="I89" s="83"/>
      <c r="J89" s="143" t="s">
        <v>146</v>
      </c>
      <c r="K89" s="144"/>
      <c r="L89" s="144"/>
      <c r="M89" s="200"/>
      <c r="N89" s="144"/>
      <c r="O89" s="135"/>
      <c r="P89" s="144"/>
      <c r="Q89" s="84" t="s">
        <v>292</v>
      </c>
      <c r="R89" s="56"/>
      <c r="S89" s="175"/>
    </row>
    <row r="90" spans="2:19" ht="25.5" hidden="1" customHeight="1" thickBot="1">
      <c r="D90" s="85"/>
      <c r="F90" s="85"/>
      <c r="G90" s="145"/>
      <c r="H90" s="136"/>
      <c r="I90" s="146"/>
      <c r="J90" s="146"/>
      <c r="K90" s="136"/>
      <c r="L90" s="136"/>
      <c r="M90" s="145" t="s">
        <v>183</v>
      </c>
      <c r="N90" s="136"/>
      <c r="O90" s="136"/>
      <c r="P90" s="136"/>
      <c r="Q90" s="86" t="s">
        <v>202</v>
      </c>
      <c r="R90" s="42"/>
      <c r="S90" s="205"/>
    </row>
    <row r="91" spans="2:19" ht="30" hidden="1" customHeight="1">
      <c r="D91" s="385" t="s">
        <v>144</v>
      </c>
      <c r="F91" s="385"/>
      <c r="G91" s="406" t="s">
        <v>63</v>
      </c>
      <c r="H91" s="406"/>
      <c r="I91" s="409" t="s">
        <v>170</v>
      </c>
      <c r="J91" s="409"/>
      <c r="K91" s="401" t="s">
        <v>2</v>
      </c>
      <c r="L91" s="401"/>
      <c r="M91" s="401" t="s">
        <v>169</v>
      </c>
      <c r="N91" s="401"/>
      <c r="O91" s="426" t="s">
        <v>139</v>
      </c>
      <c r="P91" s="401" t="s">
        <v>1</v>
      </c>
      <c r="Q91" s="401" t="s">
        <v>138</v>
      </c>
      <c r="R91" s="63"/>
      <c r="S91" s="424" t="s">
        <v>0</v>
      </c>
    </row>
    <row r="92" spans="2:19" ht="30" hidden="1" customHeight="1">
      <c r="D92" s="386"/>
      <c r="F92" s="386"/>
      <c r="G92" s="97" t="s">
        <v>143</v>
      </c>
      <c r="H92" s="49" t="s">
        <v>142</v>
      </c>
      <c r="I92" s="49" t="s">
        <v>143</v>
      </c>
      <c r="J92" s="49" t="s">
        <v>142</v>
      </c>
      <c r="K92" s="1" t="s">
        <v>4</v>
      </c>
      <c r="L92" s="1" t="s">
        <v>3</v>
      </c>
      <c r="M92" s="100" t="s">
        <v>141</v>
      </c>
      <c r="N92" s="1" t="s">
        <v>140</v>
      </c>
      <c r="O92" s="427"/>
      <c r="P92" s="422"/>
      <c r="Q92" s="422"/>
      <c r="R92" s="63"/>
      <c r="S92" s="425"/>
    </row>
    <row r="93" spans="2:19" ht="31.5" hidden="1" customHeight="1">
      <c r="D93" s="20">
        <v>7265</v>
      </c>
      <c r="F93" s="20"/>
      <c r="G93" s="100">
        <f>H93*O93</f>
        <v>58410600</v>
      </c>
      <c r="H93" s="1">
        <v>7265</v>
      </c>
      <c r="I93" s="40">
        <f>J93*O93</f>
        <v>3770760</v>
      </c>
      <c r="J93" s="49">
        <f>H93-N93</f>
        <v>469</v>
      </c>
      <c r="K93" s="4"/>
      <c r="L93" s="4"/>
      <c r="M93" s="191">
        <f>N93*O93</f>
        <v>54639840</v>
      </c>
      <c r="N93" s="4">
        <v>6796</v>
      </c>
      <c r="O93" s="22">
        <v>8040</v>
      </c>
      <c r="P93" s="4" t="s">
        <v>48</v>
      </c>
      <c r="Q93" s="6" t="s">
        <v>94</v>
      </c>
      <c r="R93" s="63" t="s">
        <v>158</v>
      </c>
      <c r="S93" s="36" t="s">
        <v>91</v>
      </c>
    </row>
    <row r="94" spans="2:19" ht="31.5" hidden="1" customHeight="1">
      <c r="D94" s="20">
        <v>53957.8</v>
      </c>
      <c r="F94" s="20"/>
      <c r="G94" s="100">
        <f>H94*O94</f>
        <v>349637805.00666648</v>
      </c>
      <c r="H94" s="267">
        <v>54974.497642557624</v>
      </c>
      <c r="I94" s="40">
        <f>J94*O94</f>
        <v>17779365.006666489</v>
      </c>
      <c r="J94" s="49">
        <f>H94-N94</f>
        <v>2795.4976425576242</v>
      </c>
      <c r="K94" s="4"/>
      <c r="L94" s="4"/>
      <c r="M94" s="191">
        <f>N94*O94</f>
        <v>331858440</v>
      </c>
      <c r="N94" s="4">
        <v>52179</v>
      </c>
      <c r="O94" s="22">
        <v>6360</v>
      </c>
      <c r="P94" s="4" t="s">
        <v>48</v>
      </c>
      <c r="Q94" s="6" t="s">
        <v>95</v>
      </c>
      <c r="R94" s="63" t="s">
        <v>158</v>
      </c>
      <c r="S94" s="36" t="s">
        <v>92</v>
      </c>
    </row>
    <row r="95" spans="2:19" ht="31.5" hidden="1" customHeight="1">
      <c r="B95" s="259" t="s">
        <v>263</v>
      </c>
      <c r="D95" s="20">
        <v>27030.59</v>
      </c>
      <c r="F95" s="20"/>
      <c r="G95" s="100">
        <f>H95*O95</f>
        <v>171782280</v>
      </c>
      <c r="H95" s="223">
        <v>28069</v>
      </c>
      <c r="I95" s="40">
        <f>J95*O95</f>
        <v>171782280</v>
      </c>
      <c r="J95" s="49">
        <f>H95-N95</f>
        <v>28069</v>
      </c>
      <c r="K95" s="4"/>
      <c r="L95" s="4"/>
      <c r="M95" s="191">
        <f>N95*O95</f>
        <v>0</v>
      </c>
      <c r="N95" s="4"/>
      <c r="O95" s="22">
        <v>6120</v>
      </c>
      <c r="P95" s="4" t="s">
        <v>48</v>
      </c>
      <c r="Q95" s="4" t="s">
        <v>96</v>
      </c>
      <c r="R95" s="63" t="s">
        <v>158</v>
      </c>
      <c r="S95" s="36" t="s">
        <v>93</v>
      </c>
    </row>
    <row r="96" spans="2:19" ht="31.5" hidden="1" customHeight="1">
      <c r="D96" s="20"/>
      <c r="F96" s="20"/>
      <c r="G96" s="100">
        <f>H96*O96</f>
        <v>0</v>
      </c>
      <c r="H96" s="1"/>
      <c r="I96" s="40">
        <f>J96*O96</f>
        <v>0</v>
      </c>
      <c r="J96" s="49">
        <f>H96-N96</f>
        <v>0</v>
      </c>
      <c r="K96" s="4"/>
      <c r="L96" s="4"/>
      <c r="M96" s="191">
        <f>N96*O96</f>
        <v>0</v>
      </c>
      <c r="N96" s="4"/>
      <c r="O96" s="22">
        <v>325</v>
      </c>
      <c r="P96" s="4" t="s">
        <v>48</v>
      </c>
      <c r="Q96" s="4" t="s">
        <v>118</v>
      </c>
      <c r="R96" s="63" t="s">
        <v>158</v>
      </c>
      <c r="S96" s="36" t="s">
        <v>117</v>
      </c>
    </row>
    <row r="97" spans="2:20" ht="31.5" hidden="1" customHeight="1">
      <c r="D97" s="20"/>
      <c r="F97" s="20"/>
      <c r="G97" s="100">
        <f>H97*O97</f>
        <v>0</v>
      </c>
      <c r="H97" s="1"/>
      <c r="I97" s="40">
        <f>J97*O97</f>
        <v>0</v>
      </c>
      <c r="J97" s="49">
        <f>H97-N97</f>
        <v>0</v>
      </c>
      <c r="K97" s="4"/>
      <c r="L97" s="4"/>
      <c r="M97" s="191">
        <f>N97*O97</f>
        <v>0</v>
      </c>
      <c r="N97" s="4"/>
      <c r="O97" s="22">
        <v>12600</v>
      </c>
      <c r="P97" s="4" t="s">
        <v>48</v>
      </c>
      <c r="Q97" s="45" t="s">
        <v>135</v>
      </c>
      <c r="R97" s="63" t="s">
        <v>158</v>
      </c>
      <c r="S97" s="36" t="s">
        <v>134</v>
      </c>
    </row>
    <row r="98" spans="2:20" ht="31.5" hidden="1" customHeight="1" thickBot="1">
      <c r="D98" s="57"/>
      <c r="F98" s="57"/>
      <c r="G98" s="414">
        <f>SUM(G93:G97)</f>
        <v>579830685.00666642</v>
      </c>
      <c r="H98" s="415"/>
      <c r="I98" s="430">
        <f>SUM(I93:I97)</f>
        <v>193332405.00666648</v>
      </c>
      <c r="J98" s="430"/>
      <c r="K98" s="423">
        <f>SUM(K93:K97)</f>
        <v>0</v>
      </c>
      <c r="L98" s="423"/>
      <c r="M98" s="423">
        <f>SUM(M93:M97)</f>
        <v>386498280</v>
      </c>
      <c r="N98" s="423"/>
      <c r="O98" s="423"/>
      <c r="P98" s="423"/>
      <c r="Q98" s="164" t="s">
        <v>7</v>
      </c>
      <c r="R98" s="165"/>
      <c r="S98" s="213"/>
    </row>
    <row r="99" spans="2:20" ht="27.75" hidden="1" customHeight="1">
      <c r="D99" s="186"/>
      <c r="F99" s="186"/>
      <c r="G99" s="187"/>
      <c r="H99" s="188"/>
      <c r="I99" s="189"/>
      <c r="J99" s="189"/>
      <c r="K99" s="188"/>
      <c r="L99" s="188"/>
      <c r="M99" s="201" t="s">
        <v>183</v>
      </c>
      <c r="N99" s="188"/>
      <c r="O99" s="190"/>
      <c r="P99" s="188"/>
      <c r="Q99" s="188" t="s">
        <v>8</v>
      </c>
      <c r="R99" s="188"/>
      <c r="S99" s="215"/>
    </row>
    <row r="100" spans="2:20" ht="28.5" hidden="1" customHeight="1">
      <c r="D100" s="5">
        <v>650</v>
      </c>
      <c r="F100" s="5"/>
      <c r="G100" s="191">
        <f>H100*O100</f>
        <v>11505000</v>
      </c>
      <c r="H100" s="1">
        <v>650</v>
      </c>
      <c r="I100" s="40">
        <f>J100*O100</f>
        <v>11505000</v>
      </c>
      <c r="J100" s="49">
        <f>H100-N100</f>
        <v>650</v>
      </c>
      <c r="K100" s="6"/>
      <c r="L100" s="4"/>
      <c r="M100" s="191"/>
      <c r="N100" s="4"/>
      <c r="O100" s="22">
        <v>17700</v>
      </c>
      <c r="P100" s="6" t="s">
        <v>48</v>
      </c>
      <c r="Q100" s="45" t="s">
        <v>250</v>
      </c>
      <c r="R100" s="6" t="s">
        <v>158</v>
      </c>
      <c r="S100" s="34" t="s">
        <v>249</v>
      </c>
    </row>
    <row r="101" spans="2:20" ht="28.5" hidden="1" customHeight="1">
      <c r="D101" s="5"/>
      <c r="F101" s="5"/>
      <c r="G101" s="191">
        <f>H101*O101</f>
        <v>0</v>
      </c>
      <c r="H101" s="1"/>
      <c r="I101" s="40">
        <f>J101*O101</f>
        <v>0</v>
      </c>
      <c r="J101" s="49">
        <f>H101-N101</f>
        <v>0</v>
      </c>
      <c r="K101" s="6"/>
      <c r="L101" s="4"/>
      <c r="M101" s="191"/>
      <c r="N101" s="4"/>
      <c r="O101" s="22">
        <v>12500</v>
      </c>
      <c r="P101" s="6" t="s">
        <v>48</v>
      </c>
      <c r="Q101" s="45" t="s">
        <v>119</v>
      </c>
      <c r="R101" s="6" t="s">
        <v>158</v>
      </c>
      <c r="S101" s="207">
        <v>110301</v>
      </c>
      <c r="T101" s="27"/>
    </row>
    <row r="102" spans="2:20" ht="28.5" hidden="1" customHeight="1" thickBot="1">
      <c r="D102" s="185">
        <v>1220</v>
      </c>
      <c r="F102" s="185"/>
      <c r="G102" s="191">
        <f>H102*O102</f>
        <v>54900000</v>
      </c>
      <c r="H102" s="43">
        <v>1220</v>
      </c>
      <c r="I102" s="40">
        <f>J102*O102</f>
        <v>900000</v>
      </c>
      <c r="J102" s="49">
        <f>H102-N102</f>
        <v>20</v>
      </c>
      <c r="K102" s="8"/>
      <c r="L102" s="15"/>
      <c r="M102" s="197">
        <f>N102*O102</f>
        <v>54000000</v>
      </c>
      <c r="N102" s="15">
        <v>1200</v>
      </c>
      <c r="O102" s="23">
        <v>45000</v>
      </c>
      <c r="P102" s="8" t="s">
        <v>48</v>
      </c>
      <c r="Q102" s="198" t="s">
        <v>233</v>
      </c>
      <c r="R102" s="8" t="s">
        <v>159</v>
      </c>
      <c r="S102" s="209">
        <v>110304</v>
      </c>
      <c r="T102" s="27"/>
    </row>
    <row r="103" spans="2:20" ht="28.5" hidden="1" customHeight="1" thickBot="1">
      <c r="D103" s="193"/>
      <c r="F103" s="193"/>
      <c r="G103" s="404">
        <f>SUM(G100:G102)</f>
        <v>66405000</v>
      </c>
      <c r="H103" s="405"/>
      <c r="I103" s="410">
        <f>SUM(I100:I102)</f>
        <v>12405000</v>
      </c>
      <c r="J103" s="410"/>
      <c r="K103" s="431">
        <f>SUM(K100:K102)</f>
        <v>0</v>
      </c>
      <c r="L103" s="431"/>
      <c r="M103" s="431">
        <f>SUM(M100:M102)</f>
        <v>54000000</v>
      </c>
      <c r="N103" s="431"/>
      <c r="O103" s="195"/>
      <c r="P103" s="194"/>
      <c r="Q103" s="194" t="s">
        <v>10</v>
      </c>
      <c r="R103" s="196"/>
      <c r="S103" s="216"/>
    </row>
    <row r="104" spans="2:20" ht="49.5" hidden="1" customHeight="1" thickBot="1">
      <c r="G104" s="101"/>
      <c r="H104" s="17"/>
      <c r="I104" s="52"/>
      <c r="J104" s="52"/>
      <c r="K104" s="17"/>
      <c r="L104" s="17"/>
      <c r="M104" s="101"/>
      <c r="N104" s="17"/>
      <c r="O104" s="24"/>
      <c r="P104" s="17"/>
      <c r="Q104" s="18"/>
      <c r="R104" s="18"/>
      <c r="S104" s="210"/>
    </row>
    <row r="105" spans="2:20" ht="25.5" hidden="1" customHeight="1">
      <c r="D105" s="77"/>
      <c r="F105" s="173"/>
      <c r="G105" s="382" t="s">
        <v>300</v>
      </c>
      <c r="H105" s="382"/>
      <c r="I105" s="382" t="s">
        <v>145</v>
      </c>
      <c r="J105" s="382"/>
      <c r="K105" s="78"/>
      <c r="L105" s="78"/>
      <c r="M105" s="199"/>
      <c r="N105" s="78"/>
      <c r="O105" s="79"/>
      <c r="P105" s="78"/>
      <c r="Q105" s="80" t="s">
        <v>171</v>
      </c>
      <c r="R105" s="41"/>
      <c r="S105" s="219"/>
    </row>
    <row r="106" spans="2:20" ht="25.5" hidden="1" customHeight="1">
      <c r="D106" s="81"/>
      <c r="F106" s="174"/>
      <c r="G106" s="96"/>
      <c r="H106" s="82"/>
      <c r="I106" s="83"/>
      <c r="J106" s="143" t="s">
        <v>146</v>
      </c>
      <c r="K106" s="144"/>
      <c r="L106" s="144"/>
      <c r="M106" s="200"/>
      <c r="N106" s="144"/>
      <c r="O106" s="135"/>
      <c r="P106" s="144"/>
      <c r="Q106" s="84" t="s">
        <v>292</v>
      </c>
      <c r="R106" s="56"/>
      <c r="S106" s="175"/>
    </row>
    <row r="107" spans="2:20" ht="25.5" hidden="1" customHeight="1" thickBot="1">
      <c r="D107" s="85"/>
      <c r="F107" s="85"/>
      <c r="G107" s="145"/>
      <c r="H107" s="136"/>
      <c r="I107" s="146"/>
      <c r="J107" s="146"/>
      <c r="K107" s="136"/>
      <c r="L107" s="136"/>
      <c r="M107" s="202" t="s">
        <v>183</v>
      </c>
      <c r="N107" s="136"/>
      <c r="O107" s="136"/>
      <c r="P107" s="136"/>
      <c r="Q107" s="86" t="s">
        <v>206</v>
      </c>
      <c r="R107" s="42"/>
      <c r="S107" s="205"/>
    </row>
    <row r="108" spans="2:20" ht="30" hidden="1" customHeight="1">
      <c r="D108" s="385" t="s">
        <v>144</v>
      </c>
      <c r="F108" s="385" t="s">
        <v>144</v>
      </c>
      <c r="G108" s="406" t="s">
        <v>63</v>
      </c>
      <c r="H108" s="406"/>
      <c r="I108" s="409" t="s">
        <v>170</v>
      </c>
      <c r="J108" s="409"/>
      <c r="K108" s="401" t="s">
        <v>2</v>
      </c>
      <c r="L108" s="401"/>
      <c r="M108" s="401" t="s">
        <v>169</v>
      </c>
      <c r="N108" s="401"/>
      <c r="O108" s="426" t="s">
        <v>139</v>
      </c>
      <c r="P108" s="401" t="s">
        <v>1</v>
      </c>
      <c r="Q108" s="401" t="s">
        <v>138</v>
      </c>
      <c r="R108" s="62"/>
      <c r="S108" s="424" t="s">
        <v>0</v>
      </c>
    </row>
    <row r="109" spans="2:20" ht="30" hidden="1" customHeight="1">
      <c r="D109" s="386"/>
      <c r="F109" s="386"/>
      <c r="G109" s="97" t="s">
        <v>143</v>
      </c>
      <c r="H109" s="49" t="s">
        <v>142</v>
      </c>
      <c r="I109" s="49" t="s">
        <v>143</v>
      </c>
      <c r="J109" s="49" t="s">
        <v>142</v>
      </c>
      <c r="K109" s="1" t="s">
        <v>4</v>
      </c>
      <c r="L109" s="1" t="s">
        <v>3</v>
      </c>
      <c r="M109" s="100" t="s">
        <v>141</v>
      </c>
      <c r="N109" s="1" t="s">
        <v>140</v>
      </c>
      <c r="O109" s="427"/>
      <c r="P109" s="422"/>
      <c r="Q109" s="422"/>
      <c r="R109" s="2"/>
      <c r="S109" s="425"/>
    </row>
    <row r="110" spans="2:20" ht="30" hidden="1" customHeight="1">
      <c r="D110" s="55"/>
      <c r="F110" s="55"/>
      <c r="G110" s="100">
        <f>H110*O110</f>
        <v>0</v>
      </c>
      <c r="H110" s="49"/>
      <c r="I110" s="40">
        <f>J110*O110</f>
        <v>0</v>
      </c>
      <c r="J110" s="49">
        <f>H110-N110</f>
        <v>0</v>
      </c>
      <c r="K110" s="1"/>
      <c r="L110" s="1"/>
      <c r="M110" s="191">
        <f>N110*O110</f>
        <v>0</v>
      </c>
      <c r="N110" s="1"/>
      <c r="O110" s="22">
        <v>220000</v>
      </c>
      <c r="P110" s="6" t="s">
        <v>35</v>
      </c>
      <c r="Q110" s="45" t="s">
        <v>219</v>
      </c>
      <c r="R110" s="2"/>
      <c r="S110" s="34" t="s">
        <v>218</v>
      </c>
    </row>
    <row r="111" spans="2:20" ht="39" hidden="1" customHeight="1">
      <c r="D111" s="20"/>
      <c r="F111" s="20"/>
      <c r="G111" s="100">
        <f t="shared" ref="G111:G126" si="16">H111*O111</f>
        <v>0</v>
      </c>
      <c r="H111" s="1"/>
      <c r="I111" s="40">
        <f t="shared" ref="I111:I126" si="17">J111*O111</f>
        <v>0</v>
      </c>
      <c r="J111" s="49">
        <f t="shared" ref="J111:J126" si="18">H111-N111</f>
        <v>0</v>
      </c>
      <c r="K111" s="6"/>
      <c r="L111" s="6"/>
      <c r="M111" s="191">
        <f t="shared" ref="M111:M126" si="19">N111*O111</f>
        <v>0</v>
      </c>
      <c r="N111" s="6"/>
      <c r="O111" s="22">
        <v>249500</v>
      </c>
      <c r="P111" s="6" t="s">
        <v>35</v>
      </c>
      <c r="Q111" s="45" t="s">
        <v>182</v>
      </c>
      <c r="R111" s="66" t="s">
        <v>158</v>
      </c>
      <c r="S111" s="34">
        <v>120103</v>
      </c>
    </row>
    <row r="112" spans="2:20" ht="39" hidden="1" customHeight="1">
      <c r="B112" s="259">
        <v>893</v>
      </c>
      <c r="C112" s="3">
        <v>2150</v>
      </c>
      <c r="D112" s="20">
        <v>416.5</v>
      </c>
      <c r="F112" s="20"/>
      <c r="G112" s="100">
        <f t="shared" si="16"/>
        <v>970249500</v>
      </c>
      <c r="H112" s="1">
        <f>416+2150+893</f>
        <v>3459</v>
      </c>
      <c r="I112" s="40">
        <f t="shared" si="17"/>
        <v>754264500</v>
      </c>
      <c r="J112" s="49">
        <f t="shared" si="18"/>
        <v>2689</v>
      </c>
      <c r="K112" s="6"/>
      <c r="L112" s="6"/>
      <c r="M112" s="191">
        <f t="shared" si="19"/>
        <v>215985000</v>
      </c>
      <c r="N112" s="6">
        <v>770</v>
      </c>
      <c r="O112" s="22">
        <v>280500</v>
      </c>
      <c r="P112" s="6" t="s">
        <v>35</v>
      </c>
      <c r="Q112" s="46" t="s">
        <v>120</v>
      </c>
      <c r="R112" s="66" t="s">
        <v>158</v>
      </c>
      <c r="S112" s="34">
        <v>120104</v>
      </c>
    </row>
    <row r="113" spans="2:19" ht="39" hidden="1" customHeight="1">
      <c r="D113" s="20">
        <v>92.36</v>
      </c>
      <c r="F113" s="20"/>
      <c r="G113" s="100">
        <f t="shared" si="16"/>
        <v>31096000</v>
      </c>
      <c r="H113" s="1">
        <v>92</v>
      </c>
      <c r="I113" s="40">
        <f t="shared" si="17"/>
        <v>0</v>
      </c>
      <c r="J113" s="49">
        <f t="shared" si="18"/>
        <v>0</v>
      </c>
      <c r="K113" s="6"/>
      <c r="L113" s="6"/>
      <c r="M113" s="191">
        <f t="shared" si="19"/>
        <v>31096000</v>
      </c>
      <c r="N113" s="4">
        <v>92</v>
      </c>
      <c r="O113" s="22">
        <v>338000</v>
      </c>
      <c r="P113" s="6" t="s">
        <v>35</v>
      </c>
      <c r="Q113" s="46" t="s">
        <v>51</v>
      </c>
      <c r="R113" s="66" t="s">
        <v>158</v>
      </c>
      <c r="S113" s="207" t="s">
        <v>49</v>
      </c>
    </row>
    <row r="114" spans="2:19" ht="39" hidden="1" customHeight="1">
      <c r="D114" s="20">
        <v>708.39</v>
      </c>
      <c r="F114" s="20"/>
      <c r="G114" s="100">
        <f t="shared" si="16"/>
        <v>258774000</v>
      </c>
      <c r="H114" s="1">
        <v>708</v>
      </c>
      <c r="I114" s="40">
        <f t="shared" si="17"/>
        <v>-17909500</v>
      </c>
      <c r="J114" s="49">
        <f t="shared" si="18"/>
        <v>-49</v>
      </c>
      <c r="K114" s="6"/>
      <c r="L114" s="6"/>
      <c r="M114" s="191">
        <f t="shared" si="19"/>
        <v>276683500</v>
      </c>
      <c r="N114" s="4">
        <v>757</v>
      </c>
      <c r="O114" s="22">
        <v>365500</v>
      </c>
      <c r="P114" s="6" t="s">
        <v>35</v>
      </c>
      <c r="Q114" s="46" t="s">
        <v>160</v>
      </c>
      <c r="R114" s="66" t="s">
        <v>158</v>
      </c>
      <c r="S114" s="207">
        <v>120107</v>
      </c>
    </row>
    <row r="115" spans="2:19" ht="39" hidden="1" customHeight="1">
      <c r="D115" s="20"/>
      <c r="F115" s="20"/>
      <c r="G115" s="100">
        <f t="shared" si="16"/>
        <v>0</v>
      </c>
      <c r="H115" s="1"/>
      <c r="I115" s="40">
        <f t="shared" si="17"/>
        <v>0</v>
      </c>
      <c r="J115" s="49">
        <f t="shared" si="18"/>
        <v>0</v>
      </c>
      <c r="K115" s="6"/>
      <c r="L115" s="6"/>
      <c r="M115" s="191">
        <f t="shared" si="19"/>
        <v>0</v>
      </c>
      <c r="N115" s="4"/>
      <c r="O115" s="22">
        <v>25400</v>
      </c>
      <c r="P115" s="6" t="s">
        <v>35</v>
      </c>
      <c r="Q115" s="46" t="s">
        <v>161</v>
      </c>
      <c r="R115" s="66" t="s">
        <v>158</v>
      </c>
      <c r="S115" s="207">
        <v>120110</v>
      </c>
    </row>
    <row r="116" spans="2:19" ht="39" hidden="1" customHeight="1">
      <c r="C116" s="3">
        <v>1800</v>
      </c>
      <c r="D116" s="20">
        <v>118.37</v>
      </c>
      <c r="F116" s="20"/>
      <c r="G116" s="100">
        <f t="shared" si="16"/>
        <v>37796000</v>
      </c>
      <c r="H116" s="1">
        <f>118+1600</f>
        <v>1718</v>
      </c>
      <c r="I116" s="40">
        <f t="shared" si="17"/>
        <v>18832000</v>
      </c>
      <c r="J116" s="49">
        <f t="shared" si="18"/>
        <v>856</v>
      </c>
      <c r="K116" s="6"/>
      <c r="L116" s="6"/>
      <c r="M116" s="191">
        <f t="shared" si="19"/>
        <v>18964000</v>
      </c>
      <c r="N116" s="4">
        <v>862</v>
      </c>
      <c r="O116" s="22">
        <v>22000</v>
      </c>
      <c r="P116" s="6" t="s">
        <v>35</v>
      </c>
      <c r="Q116" s="46" t="s">
        <v>121</v>
      </c>
      <c r="R116" s="66" t="s">
        <v>158</v>
      </c>
      <c r="S116" s="207">
        <v>120302</v>
      </c>
    </row>
    <row r="117" spans="2:19" ht="39" hidden="1" customHeight="1">
      <c r="C117" s="3">
        <f>2300-1800</f>
        <v>500</v>
      </c>
      <c r="D117" s="20">
        <v>709.89</v>
      </c>
      <c r="F117" s="20"/>
      <c r="G117" s="100">
        <f t="shared" si="16"/>
        <v>45469000</v>
      </c>
      <c r="H117" s="1">
        <f>709+400</f>
        <v>1109</v>
      </c>
      <c r="I117" s="40">
        <f t="shared" si="17"/>
        <v>14432000</v>
      </c>
      <c r="J117" s="49">
        <f t="shared" si="18"/>
        <v>352</v>
      </c>
      <c r="K117" s="6"/>
      <c r="L117" s="6"/>
      <c r="M117" s="191">
        <f t="shared" si="19"/>
        <v>31037000</v>
      </c>
      <c r="N117" s="4">
        <v>757</v>
      </c>
      <c r="O117" s="22">
        <v>41000</v>
      </c>
      <c r="P117" s="6" t="s">
        <v>35</v>
      </c>
      <c r="Q117" s="46" t="s">
        <v>122</v>
      </c>
      <c r="R117" s="66" t="s">
        <v>158</v>
      </c>
      <c r="S117" s="207">
        <v>120303</v>
      </c>
    </row>
    <row r="118" spans="2:19" ht="39" hidden="1" customHeight="1">
      <c r="D118" s="20"/>
      <c r="F118" s="20"/>
      <c r="G118" s="100">
        <f t="shared" si="16"/>
        <v>0</v>
      </c>
      <c r="H118" s="1"/>
      <c r="I118" s="40">
        <f t="shared" si="17"/>
        <v>0</v>
      </c>
      <c r="J118" s="49">
        <f t="shared" si="18"/>
        <v>0</v>
      </c>
      <c r="K118" s="6"/>
      <c r="L118" s="6"/>
      <c r="M118" s="191">
        <f t="shared" si="19"/>
        <v>0</v>
      </c>
      <c r="N118" s="4"/>
      <c r="O118" s="108">
        <v>29300</v>
      </c>
      <c r="P118" s="6" t="s">
        <v>35</v>
      </c>
      <c r="Q118" s="46" t="s">
        <v>123</v>
      </c>
      <c r="R118" s="66" t="s">
        <v>158</v>
      </c>
      <c r="S118" s="207">
        <v>120305</v>
      </c>
    </row>
    <row r="119" spans="2:19" ht="39" hidden="1" customHeight="1">
      <c r="D119" s="20"/>
      <c r="F119" s="20"/>
      <c r="G119" s="100">
        <f t="shared" si="16"/>
        <v>0</v>
      </c>
      <c r="H119" s="1"/>
      <c r="I119" s="40">
        <f t="shared" si="17"/>
        <v>0</v>
      </c>
      <c r="J119" s="49">
        <f t="shared" si="18"/>
        <v>0</v>
      </c>
      <c r="K119" s="6"/>
      <c r="L119" s="6"/>
      <c r="M119" s="191">
        <f t="shared" si="19"/>
        <v>0</v>
      </c>
      <c r="N119" s="4"/>
      <c r="O119" s="22">
        <v>26400</v>
      </c>
      <c r="P119" s="6" t="s">
        <v>35</v>
      </c>
      <c r="Q119" s="46" t="s">
        <v>124</v>
      </c>
      <c r="R119" s="66" t="s">
        <v>158</v>
      </c>
      <c r="S119" s="207">
        <v>120307</v>
      </c>
    </row>
    <row r="120" spans="2:19" ht="39" hidden="1" customHeight="1">
      <c r="D120" s="20">
        <v>800.75</v>
      </c>
      <c r="F120" s="20"/>
      <c r="G120" s="100">
        <f t="shared" si="16"/>
        <v>4416000</v>
      </c>
      <c r="H120" s="203">
        <v>800</v>
      </c>
      <c r="I120" s="40">
        <f t="shared" si="17"/>
        <v>-270480</v>
      </c>
      <c r="J120" s="49">
        <f t="shared" si="18"/>
        <v>-49</v>
      </c>
      <c r="K120" s="6"/>
      <c r="L120" s="6"/>
      <c r="M120" s="191">
        <f t="shared" si="19"/>
        <v>4686480</v>
      </c>
      <c r="N120" s="4">
        <v>849</v>
      </c>
      <c r="O120" s="22">
        <v>5520</v>
      </c>
      <c r="P120" s="6" t="s">
        <v>35</v>
      </c>
      <c r="Q120" s="46" t="s">
        <v>52</v>
      </c>
      <c r="R120" s="66" t="s">
        <v>158</v>
      </c>
      <c r="S120" s="207" t="s">
        <v>50</v>
      </c>
    </row>
    <row r="121" spans="2:19" ht="39" hidden="1" customHeight="1">
      <c r="B121" s="259" t="s">
        <v>270</v>
      </c>
      <c r="C121" s="3" t="s">
        <v>296</v>
      </c>
      <c r="D121" s="110"/>
      <c r="F121" s="110"/>
      <c r="G121" s="100">
        <f t="shared" si="16"/>
        <v>12172000</v>
      </c>
      <c r="H121" s="1">
        <f>2150*250+223250</f>
        <v>760750</v>
      </c>
      <c r="I121" s="40">
        <f t="shared" si="17"/>
        <v>12172000</v>
      </c>
      <c r="J121" s="49">
        <f t="shared" si="18"/>
        <v>760750</v>
      </c>
      <c r="K121" s="6"/>
      <c r="L121" s="6"/>
      <c r="M121" s="191">
        <f t="shared" si="19"/>
        <v>0</v>
      </c>
      <c r="N121" s="4"/>
      <c r="O121" s="22">
        <v>16</v>
      </c>
      <c r="P121" s="6" t="s">
        <v>48</v>
      </c>
      <c r="Q121" s="46" t="s">
        <v>162</v>
      </c>
      <c r="R121" s="66" t="s">
        <v>158</v>
      </c>
      <c r="S121" s="207">
        <v>120701</v>
      </c>
    </row>
    <row r="122" spans="2:19" ht="39" hidden="1" customHeight="1">
      <c r="D122" s="110">
        <v>413319.5</v>
      </c>
      <c r="F122" s="110"/>
      <c r="G122" s="100">
        <f t="shared" si="16"/>
        <v>13226208</v>
      </c>
      <c r="H122" s="1">
        <v>413319</v>
      </c>
      <c r="I122" s="40">
        <f t="shared" si="17"/>
        <v>-3653792</v>
      </c>
      <c r="J122" s="49">
        <f t="shared" si="18"/>
        <v>-114181</v>
      </c>
      <c r="K122" s="6"/>
      <c r="L122" s="6"/>
      <c r="M122" s="191">
        <f t="shared" si="19"/>
        <v>16880000</v>
      </c>
      <c r="N122" s="4">
        <v>527500</v>
      </c>
      <c r="O122" s="22">
        <v>32</v>
      </c>
      <c r="P122" s="6" t="s">
        <v>48</v>
      </c>
      <c r="Q122" s="45" t="s">
        <v>235</v>
      </c>
      <c r="R122" s="66" t="s">
        <v>158</v>
      </c>
      <c r="S122" s="34" t="s">
        <v>234</v>
      </c>
    </row>
    <row r="123" spans="2:19" ht="39" hidden="1" customHeight="1">
      <c r="D123" s="110">
        <v>11000</v>
      </c>
      <c r="F123" s="110"/>
      <c r="G123" s="100">
        <f t="shared" si="16"/>
        <v>6545000</v>
      </c>
      <c r="H123" s="1">
        <v>11000</v>
      </c>
      <c r="I123" s="40">
        <f t="shared" si="17"/>
        <v>6545000</v>
      </c>
      <c r="J123" s="49">
        <f t="shared" si="18"/>
        <v>11000</v>
      </c>
      <c r="K123" s="6"/>
      <c r="L123" s="6"/>
      <c r="M123" s="191">
        <f t="shared" si="19"/>
        <v>0</v>
      </c>
      <c r="N123" s="4"/>
      <c r="O123" s="169">
        <v>595</v>
      </c>
      <c r="P123" s="166" t="s">
        <v>204</v>
      </c>
      <c r="Q123" s="167" t="s">
        <v>205</v>
      </c>
      <c r="R123" s="66" t="s">
        <v>158</v>
      </c>
      <c r="S123" s="207">
        <v>120703</v>
      </c>
    </row>
    <row r="124" spans="2:19" ht="39" hidden="1" customHeight="1">
      <c r="B124" s="259" t="s">
        <v>271</v>
      </c>
      <c r="C124" s="3" t="s">
        <v>297</v>
      </c>
      <c r="D124" s="57">
        <v>17156.169999999998</v>
      </c>
      <c r="F124" s="57"/>
      <c r="G124" s="100">
        <f t="shared" si="16"/>
        <v>100991020</v>
      </c>
      <c r="H124" s="58">
        <f>17156+2150*14+893*14</f>
        <v>59758</v>
      </c>
      <c r="I124" s="40">
        <f t="shared" si="17"/>
        <v>62413390</v>
      </c>
      <c r="J124" s="49">
        <f t="shared" si="18"/>
        <v>36931</v>
      </c>
      <c r="K124" s="7"/>
      <c r="L124" s="59"/>
      <c r="M124" s="191">
        <f t="shared" si="19"/>
        <v>38577630</v>
      </c>
      <c r="N124" s="168">
        <v>22827</v>
      </c>
      <c r="O124" s="60">
        <v>1690</v>
      </c>
      <c r="P124" s="4" t="s">
        <v>44</v>
      </c>
      <c r="Q124" s="74" t="s">
        <v>163</v>
      </c>
      <c r="R124" s="66" t="s">
        <v>158</v>
      </c>
      <c r="S124" s="213">
        <v>120801</v>
      </c>
    </row>
    <row r="125" spans="2:19" ht="39" hidden="1" customHeight="1">
      <c r="B125" s="259" t="s">
        <v>272</v>
      </c>
      <c r="C125" s="3" t="s">
        <v>298</v>
      </c>
      <c r="D125" s="57">
        <v>19358.900000000001</v>
      </c>
      <c r="F125" s="57"/>
      <c r="G125" s="100">
        <f t="shared" si="16"/>
        <v>53861780</v>
      </c>
      <c r="H125" s="58">
        <f>19358+2150*1.3*9+10448</f>
        <v>54961</v>
      </c>
      <c r="I125" s="40">
        <f t="shared" si="17"/>
        <v>32781980</v>
      </c>
      <c r="J125" s="49">
        <f t="shared" si="18"/>
        <v>33451</v>
      </c>
      <c r="K125" s="7"/>
      <c r="L125" s="59"/>
      <c r="M125" s="191">
        <f t="shared" si="19"/>
        <v>21079800</v>
      </c>
      <c r="N125" s="73">
        <v>21510</v>
      </c>
      <c r="O125" s="60">
        <v>980</v>
      </c>
      <c r="P125" s="4" t="s">
        <v>44</v>
      </c>
      <c r="Q125" s="74" t="s">
        <v>164</v>
      </c>
      <c r="R125" s="66" t="s">
        <v>158</v>
      </c>
      <c r="S125" s="213">
        <v>121001</v>
      </c>
    </row>
    <row r="126" spans="2:19" ht="39" hidden="1" customHeight="1">
      <c r="B126" s="259" t="s">
        <v>273</v>
      </c>
      <c r="C126" s="266" t="s">
        <v>299</v>
      </c>
      <c r="D126" s="57">
        <v>64529.75</v>
      </c>
      <c r="F126" s="57"/>
      <c r="G126" s="100">
        <f t="shared" si="16"/>
        <v>155725100</v>
      </c>
      <c r="H126" s="58">
        <f>34827+2150*1.3*30+64529</f>
        <v>183206</v>
      </c>
      <c r="I126" s="40">
        <f t="shared" si="17"/>
        <v>94780100</v>
      </c>
      <c r="J126" s="49">
        <f t="shared" si="18"/>
        <v>111506</v>
      </c>
      <c r="K126" s="7"/>
      <c r="L126" s="59"/>
      <c r="M126" s="191">
        <f t="shared" si="19"/>
        <v>60945000</v>
      </c>
      <c r="N126" s="73">
        <v>71700</v>
      </c>
      <c r="O126" s="60">
        <v>850</v>
      </c>
      <c r="P126" s="4" t="s">
        <v>44</v>
      </c>
      <c r="Q126" s="74" t="s">
        <v>165</v>
      </c>
      <c r="R126" s="66" t="s">
        <v>158</v>
      </c>
      <c r="S126" s="213">
        <v>121002</v>
      </c>
    </row>
    <row r="127" spans="2:19" ht="39" hidden="1" customHeight="1" thickBot="1">
      <c r="D127" s="21"/>
      <c r="F127" s="21"/>
      <c r="G127" s="397">
        <f>SUM(G110:G126)</f>
        <v>1690321608</v>
      </c>
      <c r="H127" s="398"/>
      <c r="I127" s="402">
        <f>SUM(I110:I126)</f>
        <v>974387198</v>
      </c>
      <c r="J127" s="402"/>
      <c r="K127" s="400">
        <f>SUM(K111:K123)</f>
        <v>0</v>
      </c>
      <c r="L127" s="400"/>
      <c r="M127" s="400">
        <f>SUM(M110:M126)</f>
        <v>715934410</v>
      </c>
      <c r="N127" s="400"/>
      <c r="O127" s="39"/>
      <c r="P127" s="115"/>
      <c r="Q127" s="115" t="s">
        <v>11</v>
      </c>
      <c r="R127" s="67"/>
      <c r="S127" s="209"/>
    </row>
    <row r="128" spans="2:19" ht="49.5" hidden="1" customHeight="1" thickBot="1">
      <c r="D128" s="13"/>
      <c r="F128" s="13"/>
      <c r="G128" s="99"/>
      <c r="H128" s="37"/>
      <c r="I128" s="50"/>
      <c r="J128" s="50"/>
      <c r="K128" s="44"/>
      <c r="L128" s="44"/>
      <c r="M128" s="99"/>
      <c r="N128" s="37"/>
      <c r="O128" s="24"/>
      <c r="P128" s="17"/>
      <c r="Q128" s="17"/>
      <c r="R128" s="17"/>
      <c r="S128" s="210"/>
    </row>
    <row r="129" spans="2:19" ht="25.5" hidden="1" customHeight="1">
      <c r="D129" s="77"/>
      <c r="F129" s="173"/>
      <c r="G129" s="382" t="s">
        <v>300</v>
      </c>
      <c r="H129" s="382"/>
      <c r="I129" s="382" t="s">
        <v>145</v>
      </c>
      <c r="J129" s="382"/>
      <c r="K129" s="78"/>
      <c r="L129" s="78"/>
      <c r="M129" s="199"/>
      <c r="N129" s="78"/>
      <c r="O129" s="79"/>
      <c r="P129" s="78"/>
      <c r="Q129" s="80" t="s">
        <v>171</v>
      </c>
      <c r="R129" s="41"/>
      <c r="S129" s="219"/>
    </row>
    <row r="130" spans="2:19" ht="25.5" hidden="1" customHeight="1">
      <c r="D130" s="81"/>
      <c r="F130" s="174"/>
      <c r="G130" s="96"/>
      <c r="H130" s="82"/>
      <c r="I130" s="83"/>
      <c r="J130" s="143" t="s">
        <v>146</v>
      </c>
      <c r="K130" s="144"/>
      <c r="L130" s="144"/>
      <c r="M130" s="200"/>
      <c r="N130" s="144"/>
      <c r="O130" s="135"/>
      <c r="P130" s="144"/>
      <c r="Q130" s="84" t="s">
        <v>292</v>
      </c>
      <c r="R130" s="56"/>
      <c r="S130" s="175"/>
    </row>
    <row r="131" spans="2:19" ht="25.5" hidden="1" customHeight="1" thickBot="1">
      <c r="D131" s="85"/>
      <c r="F131" s="85"/>
      <c r="G131" s="145"/>
      <c r="H131" s="136"/>
      <c r="I131" s="146"/>
      <c r="J131" s="146"/>
      <c r="K131" s="136"/>
      <c r="L131" s="136"/>
      <c r="M131" s="202" t="s">
        <v>183</v>
      </c>
      <c r="N131" s="136"/>
      <c r="O131" s="136"/>
      <c r="P131" s="136"/>
      <c r="Q131" s="86" t="s">
        <v>207</v>
      </c>
      <c r="R131" s="42"/>
      <c r="S131" s="205"/>
    </row>
    <row r="132" spans="2:19" ht="30" hidden="1" customHeight="1">
      <c r="D132" s="385" t="s">
        <v>144</v>
      </c>
      <c r="F132" s="385" t="s">
        <v>144</v>
      </c>
      <c r="G132" s="406" t="s">
        <v>63</v>
      </c>
      <c r="H132" s="406"/>
      <c r="I132" s="409" t="s">
        <v>170</v>
      </c>
      <c r="J132" s="409"/>
      <c r="K132" s="401" t="s">
        <v>2</v>
      </c>
      <c r="L132" s="401"/>
      <c r="M132" s="401" t="s">
        <v>169</v>
      </c>
      <c r="N132" s="401"/>
      <c r="O132" s="426" t="s">
        <v>139</v>
      </c>
      <c r="P132" s="401" t="s">
        <v>1</v>
      </c>
      <c r="Q132" s="401" t="s">
        <v>138</v>
      </c>
      <c r="R132" s="62"/>
      <c r="S132" s="424" t="s">
        <v>0</v>
      </c>
    </row>
    <row r="133" spans="2:19" ht="30" hidden="1" customHeight="1">
      <c r="D133" s="386"/>
      <c r="F133" s="386"/>
      <c r="G133" s="97" t="s">
        <v>143</v>
      </c>
      <c r="H133" s="49" t="s">
        <v>142</v>
      </c>
      <c r="I133" s="49" t="s">
        <v>143</v>
      </c>
      <c r="J133" s="49" t="s">
        <v>142</v>
      </c>
      <c r="K133" s="1" t="s">
        <v>4</v>
      </c>
      <c r="L133" s="1" t="s">
        <v>3</v>
      </c>
      <c r="M133" s="100" t="s">
        <v>141</v>
      </c>
      <c r="N133" s="1" t="s">
        <v>140</v>
      </c>
      <c r="O133" s="427"/>
      <c r="P133" s="422"/>
      <c r="Q133" s="422"/>
      <c r="R133" s="2"/>
      <c r="S133" s="425"/>
    </row>
    <row r="134" spans="2:19" ht="35.25" hidden="1" customHeight="1">
      <c r="D134" s="5"/>
      <c r="F134" s="5"/>
      <c r="G134" s="100"/>
      <c r="H134" s="1"/>
      <c r="I134" s="40">
        <f>J134*O134</f>
        <v>-103292000</v>
      </c>
      <c r="J134" s="49">
        <f>H134-N134</f>
        <v>-136</v>
      </c>
      <c r="K134" s="6"/>
      <c r="L134" s="6"/>
      <c r="M134" s="191">
        <f>N134*O134</f>
        <v>103292000</v>
      </c>
      <c r="N134" s="4">
        <v>136</v>
      </c>
      <c r="O134" s="22">
        <v>759500</v>
      </c>
      <c r="P134" s="6" t="s">
        <v>35</v>
      </c>
      <c r="Q134" s="46" t="s">
        <v>110</v>
      </c>
      <c r="R134" s="46" t="s">
        <v>158</v>
      </c>
      <c r="S134" s="207">
        <v>130804</v>
      </c>
    </row>
    <row r="135" spans="2:19" ht="35.25" hidden="1" customHeight="1">
      <c r="D135" s="5"/>
      <c r="F135" s="5"/>
      <c r="G135" s="100"/>
      <c r="H135" s="1"/>
      <c r="I135" s="40">
        <f>J135*O135</f>
        <v>-217550000</v>
      </c>
      <c r="J135" s="49">
        <f>H135-N135</f>
        <v>-380</v>
      </c>
      <c r="K135" s="6"/>
      <c r="L135" s="6"/>
      <c r="M135" s="191">
        <f>N135*O135</f>
        <v>217550000</v>
      </c>
      <c r="N135" s="4">
        <v>380</v>
      </c>
      <c r="O135" s="22">
        <v>572500</v>
      </c>
      <c r="P135" s="6" t="s">
        <v>35</v>
      </c>
      <c r="Q135" s="45" t="s">
        <v>237</v>
      </c>
      <c r="R135" s="46" t="s">
        <v>158</v>
      </c>
      <c r="S135" s="34" t="s">
        <v>236</v>
      </c>
    </row>
    <row r="136" spans="2:19" ht="35.25" hidden="1" customHeight="1">
      <c r="D136" s="5"/>
      <c r="F136" s="5"/>
      <c r="G136" s="100">
        <f>H136*O136</f>
        <v>7986000</v>
      </c>
      <c r="H136" s="1">
        <v>44</v>
      </c>
      <c r="I136" s="40">
        <f>J136*O136</f>
        <v>7986000</v>
      </c>
      <c r="J136" s="49">
        <f>H136-N136</f>
        <v>44</v>
      </c>
      <c r="K136" s="6"/>
      <c r="L136" s="6"/>
      <c r="M136" s="191">
        <f>N136*O136</f>
        <v>0</v>
      </c>
      <c r="N136" s="4"/>
      <c r="O136" s="22">
        <v>181500</v>
      </c>
      <c r="P136" s="6" t="s">
        <v>155</v>
      </c>
      <c r="Q136" s="46" t="s">
        <v>208</v>
      </c>
      <c r="R136" s="46" t="s">
        <v>158</v>
      </c>
      <c r="S136" s="207">
        <v>131109</v>
      </c>
    </row>
    <row r="137" spans="2:19" ht="27" hidden="1" customHeight="1" thickBot="1">
      <c r="D137" s="21"/>
      <c r="F137" s="21"/>
      <c r="G137" s="397">
        <f>SUM(G134:G136)</f>
        <v>7986000</v>
      </c>
      <c r="H137" s="398"/>
      <c r="I137" s="402">
        <f>SUM(I134:I136)</f>
        <v>-312856000</v>
      </c>
      <c r="J137" s="402"/>
      <c r="K137" s="400">
        <f>SUM(K134:K134)</f>
        <v>0</v>
      </c>
      <c r="L137" s="400"/>
      <c r="M137" s="400">
        <f>SUM(M134:M136)</f>
        <v>320842000</v>
      </c>
      <c r="N137" s="400"/>
      <c r="O137" s="39"/>
      <c r="P137" s="115"/>
      <c r="Q137" s="115" t="s">
        <v>111</v>
      </c>
      <c r="R137" s="15"/>
      <c r="S137" s="209"/>
    </row>
    <row r="138" spans="2:19" ht="25.5" hidden="1" customHeight="1" thickBot="1">
      <c r="D138" s="85"/>
      <c r="F138" s="85"/>
      <c r="G138" s="145"/>
      <c r="H138" s="136"/>
      <c r="I138" s="146"/>
      <c r="J138" s="146"/>
      <c r="K138" s="136"/>
      <c r="L138" s="136"/>
      <c r="M138" s="202" t="s">
        <v>183</v>
      </c>
      <c r="N138" s="136"/>
      <c r="O138" s="136"/>
      <c r="P138" s="136"/>
      <c r="Q138" s="86" t="s">
        <v>209</v>
      </c>
      <c r="R138" s="42"/>
      <c r="S138" s="205"/>
    </row>
    <row r="139" spans="2:19" ht="43.5" hidden="1" customHeight="1">
      <c r="D139" s="20">
        <v>7280</v>
      </c>
      <c r="F139" s="20"/>
      <c r="G139" s="100">
        <f t="shared" ref="G139:G149" si="20">H139*O139</f>
        <v>531440000</v>
      </c>
      <c r="H139" s="1">
        <v>7280</v>
      </c>
      <c r="I139" s="40">
        <f>J139*O139</f>
        <v>-577941000</v>
      </c>
      <c r="J139" s="49">
        <f>H139-N139</f>
        <v>-7917</v>
      </c>
      <c r="K139" s="6"/>
      <c r="L139" s="6"/>
      <c r="M139" s="113">
        <f t="shared" ref="M139:M149" si="21">N139*O139</f>
        <v>1109381000</v>
      </c>
      <c r="N139" s="4">
        <v>15197</v>
      </c>
      <c r="O139" s="22">
        <v>73000</v>
      </c>
      <c r="P139" s="6" t="s">
        <v>35</v>
      </c>
      <c r="Q139" s="45" t="s">
        <v>239</v>
      </c>
      <c r="R139" s="65" t="s">
        <v>158</v>
      </c>
      <c r="S139" s="34" t="s">
        <v>238</v>
      </c>
    </row>
    <row r="140" spans="2:19" ht="43.5" hidden="1" customHeight="1">
      <c r="D140" s="20"/>
      <c r="F140" s="20"/>
      <c r="G140" s="100">
        <f t="shared" si="20"/>
        <v>0</v>
      </c>
      <c r="H140" s="1"/>
      <c r="I140" s="40">
        <f t="shared" ref="I140:I149" si="22">J140*O140</f>
        <v>0</v>
      </c>
      <c r="J140" s="49">
        <f t="shared" ref="J140:J149" si="23">H140-N140</f>
        <v>0</v>
      </c>
      <c r="K140" s="6"/>
      <c r="L140" s="6"/>
      <c r="M140" s="100">
        <f t="shared" si="21"/>
        <v>0</v>
      </c>
      <c r="N140" s="4"/>
      <c r="O140" s="22">
        <v>6170</v>
      </c>
      <c r="P140" s="6" t="s">
        <v>35</v>
      </c>
      <c r="Q140" s="45" t="s">
        <v>166</v>
      </c>
      <c r="R140" s="65" t="s">
        <v>158</v>
      </c>
      <c r="S140" s="207">
        <v>140701</v>
      </c>
    </row>
    <row r="141" spans="2:19" ht="43.5" hidden="1" customHeight="1">
      <c r="D141" s="20"/>
      <c r="F141" s="20"/>
      <c r="G141" s="100">
        <f t="shared" si="20"/>
        <v>1064000</v>
      </c>
      <c r="H141" s="1">
        <v>140</v>
      </c>
      <c r="I141" s="40">
        <f t="shared" si="22"/>
        <v>1064000</v>
      </c>
      <c r="J141" s="49">
        <f t="shared" si="23"/>
        <v>140</v>
      </c>
      <c r="K141" s="6"/>
      <c r="L141" s="6"/>
      <c r="M141" s="100">
        <f t="shared" si="21"/>
        <v>0</v>
      </c>
      <c r="N141" s="4"/>
      <c r="O141" s="22">
        <v>7600</v>
      </c>
      <c r="P141" s="6" t="s">
        <v>35</v>
      </c>
      <c r="Q141" s="45" t="s">
        <v>136</v>
      </c>
      <c r="R141" s="65" t="s">
        <v>158</v>
      </c>
      <c r="S141" s="207">
        <v>140704</v>
      </c>
    </row>
    <row r="142" spans="2:19" ht="43.5" hidden="1" customHeight="1">
      <c r="D142" s="20"/>
      <c r="F142" s="20"/>
      <c r="G142" s="100">
        <f t="shared" si="20"/>
        <v>455000</v>
      </c>
      <c r="H142" s="1">
        <v>140</v>
      </c>
      <c r="I142" s="40">
        <f t="shared" si="22"/>
        <v>455000</v>
      </c>
      <c r="J142" s="49">
        <f t="shared" si="23"/>
        <v>140</v>
      </c>
      <c r="K142" s="6"/>
      <c r="L142" s="6"/>
      <c r="M142" s="100">
        <f t="shared" si="21"/>
        <v>0</v>
      </c>
      <c r="N142" s="4"/>
      <c r="O142" s="22">
        <v>3250</v>
      </c>
      <c r="P142" s="6" t="s">
        <v>35</v>
      </c>
      <c r="Q142" s="45" t="s">
        <v>167</v>
      </c>
      <c r="R142" s="65" t="s">
        <v>158</v>
      </c>
      <c r="S142" s="207">
        <v>140801</v>
      </c>
    </row>
    <row r="143" spans="2:19" ht="43.5" hidden="1" customHeight="1">
      <c r="B143" s="259">
        <v>950</v>
      </c>
      <c r="D143" s="20"/>
      <c r="F143" s="20"/>
      <c r="G143" s="100">
        <f t="shared" si="20"/>
        <v>72485000</v>
      </c>
      <c r="H143" s="1">
        <v>950</v>
      </c>
      <c r="I143" s="40">
        <f t="shared" si="22"/>
        <v>72485000</v>
      </c>
      <c r="J143" s="49">
        <f t="shared" si="23"/>
        <v>950</v>
      </c>
      <c r="K143" s="6"/>
      <c r="L143" s="6"/>
      <c r="M143" s="100">
        <f t="shared" si="21"/>
        <v>0</v>
      </c>
      <c r="N143" s="4"/>
      <c r="O143" s="22">
        <v>76300</v>
      </c>
      <c r="P143" s="6" t="s">
        <v>35</v>
      </c>
      <c r="Q143" s="45" t="s">
        <v>275</v>
      </c>
      <c r="R143" s="65" t="s">
        <v>158</v>
      </c>
      <c r="S143" s="207" t="s">
        <v>274</v>
      </c>
    </row>
    <row r="144" spans="2:19" ht="43.5" hidden="1" customHeight="1">
      <c r="D144" s="20"/>
      <c r="F144" s="20"/>
      <c r="G144" s="100">
        <f t="shared" si="20"/>
        <v>0</v>
      </c>
      <c r="H144" s="1"/>
      <c r="I144" s="40">
        <f t="shared" si="22"/>
        <v>0</v>
      </c>
      <c r="J144" s="49">
        <f t="shared" si="23"/>
        <v>0</v>
      </c>
      <c r="K144" s="6"/>
      <c r="L144" s="6"/>
      <c r="M144" s="100">
        <f t="shared" si="21"/>
        <v>0</v>
      </c>
      <c r="N144" s="4"/>
      <c r="O144" s="22">
        <v>9670</v>
      </c>
      <c r="P144" s="6" t="s">
        <v>35</v>
      </c>
      <c r="Q144" s="45" t="s">
        <v>137</v>
      </c>
      <c r="R144" s="65" t="s">
        <v>158</v>
      </c>
      <c r="S144" s="207">
        <v>141002</v>
      </c>
    </row>
    <row r="145" spans="2:19" ht="43.5" hidden="1" customHeight="1">
      <c r="D145" s="20">
        <v>400</v>
      </c>
      <c r="F145" s="20"/>
      <c r="G145" s="100">
        <f t="shared" si="20"/>
        <v>13800000</v>
      </c>
      <c r="H145" s="1">
        <v>400</v>
      </c>
      <c r="I145" s="40">
        <f t="shared" si="22"/>
        <v>13800000</v>
      </c>
      <c r="J145" s="49">
        <f t="shared" si="23"/>
        <v>400</v>
      </c>
      <c r="K145" s="6"/>
      <c r="L145" s="6"/>
      <c r="M145" s="100">
        <f t="shared" si="21"/>
        <v>0</v>
      </c>
      <c r="N145" s="4"/>
      <c r="O145" s="22">
        <v>34500</v>
      </c>
      <c r="P145" s="6" t="s">
        <v>35</v>
      </c>
      <c r="Q145" s="45" t="s">
        <v>253</v>
      </c>
      <c r="R145" s="65" t="s">
        <v>158</v>
      </c>
      <c r="S145" s="34" t="s">
        <v>251</v>
      </c>
    </row>
    <row r="146" spans="2:19" ht="43.5" hidden="1" customHeight="1">
      <c r="D146" s="20">
        <v>600</v>
      </c>
      <c r="F146" s="20"/>
      <c r="G146" s="100">
        <f t="shared" si="20"/>
        <v>17160000</v>
      </c>
      <c r="H146" s="1">
        <v>600</v>
      </c>
      <c r="I146" s="40">
        <f t="shared" si="22"/>
        <v>17160000</v>
      </c>
      <c r="J146" s="49">
        <f t="shared" si="23"/>
        <v>600</v>
      </c>
      <c r="K146" s="6"/>
      <c r="L146" s="6"/>
      <c r="M146" s="100">
        <f t="shared" si="21"/>
        <v>0</v>
      </c>
      <c r="N146" s="4"/>
      <c r="O146" s="22">
        <v>28600</v>
      </c>
      <c r="P146" s="6" t="s">
        <v>35</v>
      </c>
      <c r="Q146" s="45" t="s">
        <v>254</v>
      </c>
      <c r="R146" s="65" t="s">
        <v>158</v>
      </c>
      <c r="S146" s="34" t="s">
        <v>252</v>
      </c>
    </row>
    <row r="147" spans="2:19" ht="32.25" hidden="1" customHeight="1">
      <c r="B147" s="259" t="s">
        <v>276</v>
      </c>
      <c r="D147" s="20">
        <v>92520</v>
      </c>
      <c r="F147" s="20"/>
      <c r="G147" s="100">
        <f t="shared" si="20"/>
        <v>99048600</v>
      </c>
      <c r="H147" s="1">
        <f>92520+9*950</f>
        <v>101070</v>
      </c>
      <c r="I147" s="40">
        <f t="shared" si="22"/>
        <v>-34988940</v>
      </c>
      <c r="J147" s="49">
        <f t="shared" si="23"/>
        <v>-35703</v>
      </c>
      <c r="K147" s="6"/>
      <c r="L147" s="6"/>
      <c r="M147" s="100">
        <f t="shared" si="21"/>
        <v>134037540</v>
      </c>
      <c r="N147" s="4">
        <v>136773</v>
      </c>
      <c r="O147" s="104">
        <v>980</v>
      </c>
      <c r="P147" s="4" t="s">
        <v>44</v>
      </c>
      <c r="Q147" s="45" t="s">
        <v>68</v>
      </c>
      <c r="R147" s="65" t="s">
        <v>158</v>
      </c>
      <c r="S147" s="207">
        <v>141901</v>
      </c>
    </row>
    <row r="148" spans="2:19" ht="32.25" hidden="1" customHeight="1">
      <c r="B148" s="259" t="s">
        <v>277</v>
      </c>
      <c r="D148" s="20">
        <v>205600</v>
      </c>
      <c r="F148" s="20"/>
      <c r="G148" s="100">
        <f t="shared" si="20"/>
        <v>201017000</v>
      </c>
      <c r="H148" s="1">
        <f>205600+20*950</f>
        <v>224600</v>
      </c>
      <c r="I148" s="40">
        <f t="shared" si="22"/>
        <v>-71009300</v>
      </c>
      <c r="J148" s="49">
        <f t="shared" si="23"/>
        <v>-79340</v>
      </c>
      <c r="K148" s="6"/>
      <c r="L148" s="6"/>
      <c r="M148" s="100">
        <f t="shared" si="21"/>
        <v>272026300</v>
      </c>
      <c r="N148" s="4">
        <v>303940</v>
      </c>
      <c r="O148" s="22">
        <v>895</v>
      </c>
      <c r="P148" s="4" t="s">
        <v>44</v>
      </c>
      <c r="Q148" s="45" t="s">
        <v>242</v>
      </c>
      <c r="R148" s="65" t="s">
        <v>158</v>
      </c>
      <c r="S148" s="207">
        <v>141902</v>
      </c>
    </row>
    <row r="149" spans="2:19" ht="32.25" hidden="1" customHeight="1">
      <c r="B149" s="259" t="s">
        <v>278</v>
      </c>
      <c r="D149" s="57">
        <v>102800</v>
      </c>
      <c r="F149" s="57"/>
      <c r="G149" s="100">
        <f t="shared" si="20"/>
        <v>80294500</v>
      </c>
      <c r="H149" s="224">
        <f>102800+10*950</f>
        <v>112300</v>
      </c>
      <c r="I149" s="40">
        <f t="shared" si="22"/>
        <v>-28364050</v>
      </c>
      <c r="J149" s="49">
        <f t="shared" si="23"/>
        <v>-39670</v>
      </c>
      <c r="K149" s="7"/>
      <c r="L149" s="7"/>
      <c r="M149" s="100">
        <f t="shared" si="21"/>
        <v>108658550</v>
      </c>
      <c r="N149" s="59">
        <v>151970</v>
      </c>
      <c r="O149" s="60">
        <v>715</v>
      </c>
      <c r="P149" s="4" t="s">
        <v>44</v>
      </c>
      <c r="Q149" s="247" t="s">
        <v>241</v>
      </c>
      <c r="R149" s="65" t="s">
        <v>158</v>
      </c>
      <c r="S149" s="248" t="s">
        <v>240</v>
      </c>
    </row>
    <row r="150" spans="2:19" ht="29.25" hidden="1" customHeight="1" thickBot="1">
      <c r="D150" s="21"/>
      <c r="F150" s="21"/>
      <c r="G150" s="397">
        <f>SUM(G139:G149)</f>
        <v>1016764100</v>
      </c>
      <c r="H150" s="398"/>
      <c r="I150" s="432">
        <f>SUM(I139:I149)</f>
        <v>-607339290</v>
      </c>
      <c r="J150" s="432"/>
      <c r="K150" s="433">
        <f>SUM(K139:K148)</f>
        <v>0</v>
      </c>
      <c r="L150" s="433"/>
      <c r="M150" s="400">
        <f>SUM(M139:M149)</f>
        <v>1624103390</v>
      </c>
      <c r="N150" s="400"/>
      <c r="O150" s="400"/>
      <c r="P150" s="400"/>
      <c r="Q150" s="170" t="s">
        <v>13</v>
      </c>
      <c r="R150" s="68"/>
      <c r="S150" s="217"/>
    </row>
    <row r="151" spans="2:19" ht="49.5" hidden="1" customHeight="1">
      <c r="D151" s="13"/>
      <c r="F151" s="13"/>
      <c r="G151" s="99"/>
      <c r="H151" s="11"/>
      <c r="I151" s="54"/>
      <c r="J151" s="54"/>
      <c r="K151" s="87"/>
      <c r="L151" s="87"/>
      <c r="M151" s="99"/>
      <c r="N151" s="37"/>
      <c r="O151" s="37"/>
      <c r="P151" s="37"/>
      <c r="Q151" s="88"/>
      <c r="R151" s="88"/>
      <c r="S151" s="218"/>
    </row>
    <row r="152" spans="2:19" ht="49.5" hidden="1" customHeight="1" thickBot="1">
      <c r="D152" s="13"/>
      <c r="F152" s="13"/>
      <c r="G152" s="99"/>
      <c r="H152" s="11"/>
      <c r="I152" s="54"/>
      <c r="J152" s="54"/>
      <c r="K152" s="87"/>
      <c r="L152" s="87"/>
      <c r="M152" s="99"/>
      <c r="N152" s="37"/>
      <c r="O152" s="37"/>
      <c r="P152" s="37"/>
      <c r="Q152" s="88"/>
      <c r="R152" s="88"/>
      <c r="S152" s="218"/>
    </row>
    <row r="153" spans="2:19" ht="25.5" hidden="1" customHeight="1">
      <c r="D153" s="77"/>
      <c r="F153" s="173"/>
      <c r="G153" s="382" t="s">
        <v>300</v>
      </c>
      <c r="H153" s="382"/>
      <c r="I153" s="382" t="s">
        <v>145</v>
      </c>
      <c r="J153" s="382"/>
      <c r="K153" s="78"/>
      <c r="L153" s="78"/>
      <c r="M153" s="199"/>
      <c r="N153" s="78"/>
      <c r="O153" s="79"/>
      <c r="P153" s="78"/>
      <c r="Q153" s="80" t="s">
        <v>171</v>
      </c>
      <c r="R153" s="41"/>
      <c r="S153" s="219"/>
    </row>
    <row r="154" spans="2:19" ht="25.5" hidden="1" customHeight="1">
      <c r="D154" s="81"/>
      <c r="F154" s="174"/>
      <c r="G154" s="96"/>
      <c r="H154" s="82"/>
      <c r="I154" s="83"/>
      <c r="J154" s="143" t="s">
        <v>146</v>
      </c>
      <c r="K154" s="144"/>
      <c r="L154" s="144"/>
      <c r="M154" s="200"/>
      <c r="N154" s="144"/>
      <c r="O154" s="135"/>
      <c r="P154" s="144"/>
      <c r="Q154" s="84" t="s">
        <v>292</v>
      </c>
      <c r="R154" s="56"/>
      <c r="S154" s="175"/>
    </row>
    <row r="155" spans="2:19" ht="25.5" hidden="1" customHeight="1" thickBot="1">
      <c r="D155" s="85"/>
      <c r="F155" s="85"/>
      <c r="G155" s="145"/>
      <c r="H155" s="136"/>
      <c r="I155" s="146"/>
      <c r="J155" s="146"/>
      <c r="K155" s="136"/>
      <c r="L155" s="136"/>
      <c r="M155" s="202" t="s">
        <v>183</v>
      </c>
      <c r="N155" s="136"/>
      <c r="O155" s="136"/>
      <c r="P155" s="136"/>
      <c r="Q155" s="86" t="s">
        <v>210</v>
      </c>
      <c r="R155" s="42"/>
      <c r="S155" s="205"/>
    </row>
    <row r="156" spans="2:19" ht="34.5" hidden="1" customHeight="1">
      <c r="C156" s="3" t="s">
        <v>291</v>
      </c>
      <c r="D156" s="20"/>
      <c r="F156" s="20"/>
      <c r="G156" s="100">
        <f>H156*O156</f>
        <v>6300000</v>
      </c>
      <c r="H156" s="1">
        <v>700</v>
      </c>
      <c r="I156" s="40">
        <f>J156*O156</f>
        <v>6300000</v>
      </c>
      <c r="J156" s="49">
        <f>H156-N156</f>
        <v>700</v>
      </c>
      <c r="K156" s="4"/>
      <c r="L156" s="4"/>
      <c r="M156" s="191"/>
      <c r="N156" s="4"/>
      <c r="O156" s="22">
        <v>9000</v>
      </c>
      <c r="P156" s="4" t="s">
        <v>36</v>
      </c>
      <c r="Q156" s="4" t="s">
        <v>98</v>
      </c>
      <c r="R156" s="64" t="s">
        <v>158</v>
      </c>
      <c r="S156" s="32" t="s">
        <v>97</v>
      </c>
    </row>
    <row r="157" spans="2:19" ht="34.5" hidden="1" customHeight="1">
      <c r="D157" s="20"/>
      <c r="F157" s="20"/>
      <c r="G157" s="100"/>
      <c r="H157" s="1"/>
      <c r="I157" s="40">
        <f>J157*O157</f>
        <v>0</v>
      </c>
      <c r="J157" s="49">
        <f>H157-N157</f>
        <v>0</v>
      </c>
      <c r="K157" s="4"/>
      <c r="L157" s="4"/>
      <c r="M157" s="191"/>
      <c r="N157" s="4"/>
      <c r="O157" s="22">
        <v>43200</v>
      </c>
      <c r="P157" s="4" t="s">
        <v>36</v>
      </c>
      <c r="Q157" s="4" t="s">
        <v>106</v>
      </c>
      <c r="R157" s="64" t="s">
        <v>158</v>
      </c>
      <c r="S157" s="32" t="s">
        <v>105</v>
      </c>
    </row>
    <row r="158" spans="2:19" s="171" customFormat="1" ht="34.5" hidden="1" customHeight="1" thickBot="1">
      <c r="B158" s="260"/>
      <c r="C158" s="263"/>
      <c r="D158" s="131"/>
      <c r="F158" s="131"/>
      <c r="G158" s="397">
        <f>SUM(G156:G157)</f>
        <v>6300000</v>
      </c>
      <c r="H158" s="398"/>
      <c r="I158" s="399">
        <f>SUM(I156:I157)</f>
        <v>6300000</v>
      </c>
      <c r="J158" s="399"/>
      <c r="K158" s="411">
        <f>SUM(K156:K157)</f>
        <v>0</v>
      </c>
      <c r="L158" s="411"/>
      <c r="M158" s="411">
        <f>SUM(M156:M157)</f>
        <v>0</v>
      </c>
      <c r="N158" s="411"/>
      <c r="O158" s="133"/>
      <c r="P158" s="132"/>
      <c r="Q158" s="134" t="s">
        <v>60</v>
      </c>
      <c r="R158" s="172"/>
      <c r="S158" s="217"/>
    </row>
    <row r="159" spans="2:19" ht="32.25" hidden="1" customHeight="1">
      <c r="D159" s="177"/>
      <c r="F159" s="177"/>
      <c r="G159" s="103"/>
      <c r="H159" s="75"/>
      <c r="I159" s="40">
        <f>J159*O159</f>
        <v>0</v>
      </c>
      <c r="J159" s="49">
        <f>H159-N159</f>
        <v>0</v>
      </c>
      <c r="K159" s="75"/>
      <c r="L159" s="75"/>
      <c r="M159" s="191"/>
      <c r="N159" s="75"/>
      <c r="O159" s="90">
        <v>40700</v>
      </c>
      <c r="P159" s="4" t="s">
        <v>125</v>
      </c>
      <c r="Q159" s="71" t="s">
        <v>168</v>
      </c>
      <c r="R159" s="72" t="s">
        <v>158</v>
      </c>
      <c r="S159" s="214">
        <v>190103</v>
      </c>
    </row>
    <row r="160" spans="2:19" ht="32.25" hidden="1" customHeight="1">
      <c r="D160" s="177">
        <v>4369.33</v>
      </c>
      <c r="F160" s="177"/>
      <c r="G160" s="103">
        <f>H160*O160</f>
        <v>27087800</v>
      </c>
      <c r="H160" s="75">
        <v>4369</v>
      </c>
      <c r="I160" s="40">
        <f>J160*O160</f>
        <v>27087800</v>
      </c>
      <c r="J160" s="49">
        <f>H160-N160</f>
        <v>4369</v>
      </c>
      <c r="K160" s="75"/>
      <c r="L160" s="75"/>
      <c r="M160" s="191"/>
      <c r="N160" s="75"/>
      <c r="O160" s="90">
        <v>6200</v>
      </c>
      <c r="P160" s="4" t="s">
        <v>125</v>
      </c>
      <c r="Q160" s="71" t="s">
        <v>256</v>
      </c>
      <c r="R160" s="72" t="s">
        <v>158</v>
      </c>
      <c r="S160" s="212" t="s">
        <v>255</v>
      </c>
    </row>
    <row r="161" spans="2:28" ht="32.25" hidden="1" customHeight="1">
      <c r="B161" s="259">
        <v>450</v>
      </c>
      <c r="C161" s="3">
        <v>300</v>
      </c>
      <c r="D161" s="5">
        <v>348.75</v>
      </c>
      <c r="F161" s="5"/>
      <c r="G161" s="103">
        <f>H161*O161</f>
        <v>61048800</v>
      </c>
      <c r="H161" s="1">
        <f>348+300+450</f>
        <v>1098</v>
      </c>
      <c r="I161" s="40">
        <f>J161*O161</f>
        <v>61048800</v>
      </c>
      <c r="J161" s="49">
        <f>H161-N161</f>
        <v>1098</v>
      </c>
      <c r="K161" s="4"/>
      <c r="L161" s="4"/>
      <c r="M161" s="191"/>
      <c r="N161" s="4"/>
      <c r="O161" s="22">
        <v>55600</v>
      </c>
      <c r="P161" s="4" t="s">
        <v>108</v>
      </c>
      <c r="Q161" s="46" t="s">
        <v>150</v>
      </c>
      <c r="R161" s="72" t="s">
        <v>158</v>
      </c>
      <c r="S161" s="32" t="s">
        <v>149</v>
      </c>
    </row>
    <row r="162" spans="2:28" ht="32.25" hidden="1" customHeight="1">
      <c r="D162" s="57"/>
      <c r="F162" s="57"/>
      <c r="G162" s="103">
        <f>H162*O162</f>
        <v>10680000</v>
      </c>
      <c r="H162" s="1">
        <v>120</v>
      </c>
      <c r="I162" s="40">
        <f>J162*O162</f>
        <v>-7120000</v>
      </c>
      <c r="J162" s="49">
        <f>H162-N162</f>
        <v>-80</v>
      </c>
      <c r="K162" s="59"/>
      <c r="L162" s="59"/>
      <c r="M162" s="191">
        <f>N162*O162</f>
        <v>17800000</v>
      </c>
      <c r="N162" s="59">
        <v>200</v>
      </c>
      <c r="O162" s="60">
        <v>89000</v>
      </c>
      <c r="P162" s="59" t="s">
        <v>64</v>
      </c>
      <c r="Q162" s="247" t="s">
        <v>244</v>
      </c>
      <c r="R162" s="72" t="s">
        <v>159</v>
      </c>
      <c r="S162" s="76" t="s">
        <v>243</v>
      </c>
    </row>
    <row r="163" spans="2:28" s="178" customFormat="1" ht="32.25" hidden="1" customHeight="1" thickBot="1">
      <c r="B163" s="261"/>
      <c r="C163" s="264"/>
      <c r="D163" s="179"/>
      <c r="F163" s="179"/>
      <c r="G163" s="407">
        <f>SUM(G159:G162)</f>
        <v>98816600</v>
      </c>
      <c r="H163" s="408"/>
      <c r="I163" s="403">
        <f>SUM(I159:I162)</f>
        <v>81016600</v>
      </c>
      <c r="J163" s="403"/>
      <c r="K163" s="434" t="e">
        <f>SUM(#REF!)</f>
        <v>#REF!</v>
      </c>
      <c r="L163" s="434"/>
      <c r="M163" s="434">
        <f>SUM(M159:M162)</f>
        <v>17800000</v>
      </c>
      <c r="N163" s="434"/>
      <c r="O163" s="182"/>
      <c r="P163" s="181"/>
      <c r="Q163" s="183" t="s">
        <v>107</v>
      </c>
      <c r="R163" s="184"/>
      <c r="S163" s="221"/>
    </row>
    <row r="164" spans="2:28" ht="25.5" hidden="1" customHeight="1" thickBot="1">
      <c r="D164" s="85"/>
      <c r="F164" s="85"/>
      <c r="G164" s="145"/>
      <c r="H164" s="136"/>
      <c r="I164" s="146"/>
      <c r="J164" s="146"/>
      <c r="K164" s="136"/>
      <c r="L164" s="136"/>
      <c r="M164" s="202" t="s">
        <v>183</v>
      </c>
      <c r="N164" s="136"/>
      <c r="O164" s="136"/>
      <c r="P164" s="136"/>
      <c r="Q164" s="86" t="s">
        <v>211</v>
      </c>
      <c r="R164" s="42"/>
      <c r="S164" s="205"/>
    </row>
    <row r="165" spans="2:28" ht="33" hidden="1" customHeight="1">
      <c r="B165" s="265">
        <f>(C112+B112)*0.25*45</f>
        <v>34233.75</v>
      </c>
      <c r="D165" s="20">
        <v>32089.8</v>
      </c>
      <c r="F165" s="20"/>
      <c r="G165" s="100">
        <f>H165*O165</f>
        <v>24207530</v>
      </c>
      <c r="H165" s="1">
        <f>32089+34233</f>
        <v>66322</v>
      </c>
      <c r="I165" s="40">
        <f>J165*O165</f>
        <v>11620870</v>
      </c>
      <c r="J165" s="49">
        <f>H165-N165</f>
        <v>31838</v>
      </c>
      <c r="K165" s="4"/>
      <c r="L165" s="4"/>
      <c r="M165" s="191">
        <f>N165*O165</f>
        <v>12586660</v>
      </c>
      <c r="N165" s="4">
        <v>34484</v>
      </c>
      <c r="O165" s="22">
        <v>365</v>
      </c>
      <c r="P165" s="4" t="s">
        <v>59</v>
      </c>
      <c r="Q165" s="4" t="s">
        <v>56</v>
      </c>
      <c r="R165" s="64" t="s">
        <v>158</v>
      </c>
      <c r="S165" s="207" t="s">
        <v>53</v>
      </c>
    </row>
    <row r="166" spans="2:28" ht="33" hidden="1" customHeight="1">
      <c r="B166" s="265">
        <f>(C112+B112)*0.25*75</f>
        <v>57056.25</v>
      </c>
      <c r="D166" s="20">
        <v>27643.439999999999</v>
      </c>
      <c r="F166" s="20"/>
      <c r="G166" s="100">
        <f>H166*O166</f>
        <v>20751255</v>
      </c>
      <c r="H166" s="1">
        <f>27643+57056</f>
        <v>84699</v>
      </c>
      <c r="I166" s="40">
        <f>J166*O166</f>
        <v>13560995</v>
      </c>
      <c r="J166" s="49">
        <f>H166-N166</f>
        <v>55351</v>
      </c>
      <c r="K166" s="4"/>
      <c r="L166" s="4"/>
      <c r="M166" s="191">
        <f>N166*O166</f>
        <v>7190260</v>
      </c>
      <c r="N166" s="4">
        <v>29348</v>
      </c>
      <c r="O166" s="22">
        <v>245</v>
      </c>
      <c r="P166" s="4" t="s">
        <v>59</v>
      </c>
      <c r="Q166" s="4" t="s">
        <v>57</v>
      </c>
      <c r="R166" s="64" t="s">
        <v>158</v>
      </c>
      <c r="S166" s="207" t="s">
        <v>54</v>
      </c>
    </row>
    <row r="167" spans="2:28" ht="33" hidden="1" customHeight="1">
      <c r="B167" s="265">
        <f>(C112+B112)*0.25*150</f>
        <v>114112.5</v>
      </c>
      <c r="D167" s="20">
        <v>10067.700000000001</v>
      </c>
      <c r="F167" s="20"/>
      <c r="G167" s="100">
        <f>H167*O167</f>
        <v>1560385</v>
      </c>
      <c r="H167" s="1">
        <v>10067</v>
      </c>
      <c r="I167" s="40">
        <f>J167*O167</f>
        <v>91295</v>
      </c>
      <c r="J167" s="49">
        <f>H167-N167</f>
        <v>589</v>
      </c>
      <c r="K167" s="4"/>
      <c r="L167" s="4"/>
      <c r="M167" s="191">
        <f>N167*O167</f>
        <v>1469090</v>
      </c>
      <c r="N167" s="4">
        <v>9478</v>
      </c>
      <c r="O167" s="22">
        <v>155</v>
      </c>
      <c r="P167" s="4" t="s">
        <v>59</v>
      </c>
      <c r="Q167" s="4" t="s">
        <v>58</v>
      </c>
      <c r="R167" s="64" t="s">
        <v>158</v>
      </c>
      <c r="S167" s="207" t="s">
        <v>55</v>
      </c>
    </row>
    <row r="168" spans="2:28" ht="33" hidden="1" customHeight="1">
      <c r="B168" s="265"/>
      <c r="D168" s="20">
        <v>10067.700000000001</v>
      </c>
      <c r="F168" s="20"/>
      <c r="G168" s="100">
        <f>H168*O168</f>
        <v>1258375</v>
      </c>
      <c r="H168" s="1">
        <v>10067</v>
      </c>
      <c r="I168" s="40">
        <f>J168*O168</f>
        <v>73625</v>
      </c>
      <c r="J168" s="49">
        <f>H168-N168</f>
        <v>589</v>
      </c>
      <c r="K168" s="4"/>
      <c r="L168" s="4"/>
      <c r="M168" s="191">
        <f>N168*O168</f>
        <v>1184750</v>
      </c>
      <c r="N168" s="4">
        <v>9478</v>
      </c>
      <c r="O168" s="22">
        <v>125</v>
      </c>
      <c r="P168" s="4" t="s">
        <v>59</v>
      </c>
      <c r="Q168" s="4" t="s">
        <v>113</v>
      </c>
      <c r="R168" s="64" t="s">
        <v>158</v>
      </c>
      <c r="S168" s="207" t="s">
        <v>112</v>
      </c>
    </row>
    <row r="169" spans="2:28" ht="33" hidden="1" customHeight="1">
      <c r="B169" s="265"/>
      <c r="D169" s="20">
        <v>3355.9</v>
      </c>
      <c r="F169" s="20"/>
      <c r="G169" s="100">
        <f>H169*O169</f>
        <v>369050</v>
      </c>
      <c r="H169" s="1">
        <v>3355</v>
      </c>
      <c r="I169" s="40">
        <f>J169*O169</f>
        <v>21560</v>
      </c>
      <c r="J169" s="49">
        <f>H169-N169</f>
        <v>196</v>
      </c>
      <c r="K169" s="4"/>
      <c r="L169" s="4"/>
      <c r="M169" s="191">
        <f>N169*O169</f>
        <v>347490</v>
      </c>
      <c r="N169" s="4">
        <v>3159</v>
      </c>
      <c r="O169" s="22">
        <v>110</v>
      </c>
      <c r="P169" s="4" t="s">
        <v>59</v>
      </c>
      <c r="Q169" s="4" t="s">
        <v>127</v>
      </c>
      <c r="R169" s="64" t="s">
        <v>158</v>
      </c>
      <c r="S169" s="207" t="s">
        <v>126</v>
      </c>
    </row>
    <row r="170" spans="2:28" s="178" customFormat="1" ht="33" hidden="1" customHeight="1" thickBot="1">
      <c r="B170" s="261"/>
      <c r="C170" s="264"/>
      <c r="D170" s="179"/>
      <c r="F170" s="179"/>
      <c r="G170" s="407">
        <f>SUM(G165:G169)</f>
        <v>48146595</v>
      </c>
      <c r="H170" s="408"/>
      <c r="I170" s="403">
        <f>SUM(I165:I169)</f>
        <v>25368345</v>
      </c>
      <c r="J170" s="403"/>
      <c r="K170" s="434">
        <f>SUM(K165:K169)</f>
        <v>0</v>
      </c>
      <c r="L170" s="434"/>
      <c r="M170" s="434">
        <f>SUM(M165:M169)</f>
        <v>22778250</v>
      </c>
      <c r="N170" s="434"/>
      <c r="O170" s="182"/>
      <c r="P170" s="181"/>
      <c r="Q170" s="181" t="s">
        <v>14</v>
      </c>
      <c r="R170" s="180"/>
      <c r="S170" s="221"/>
    </row>
    <row r="171" spans="2:28" ht="49.5" hidden="1" customHeight="1"/>
    <row r="172" spans="2:28" ht="49.5" hidden="1" customHeight="1"/>
    <row r="173" spans="2:28" ht="49.5" hidden="1" customHeight="1"/>
    <row r="174" spans="2:28" ht="49.5" hidden="1" customHeight="1">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T176" s="3"/>
      <c r="U176" s="3"/>
      <c r="V176" s="3"/>
      <c r="W176" s="3"/>
      <c r="X176" s="3"/>
      <c r="Y176" s="3"/>
      <c r="Z176" s="14"/>
      <c r="AA176" s="14"/>
      <c r="AB176" s="12"/>
    </row>
    <row r="177" spans="4:28" ht="49.5" hidden="1" customHeight="1">
      <c r="T177" s="3"/>
      <c r="U177" s="3"/>
      <c r="V177" s="3"/>
      <c r="W177" s="3"/>
      <c r="X177" s="3"/>
      <c r="Y177" s="3"/>
      <c r="Z177" s="14"/>
      <c r="AA177" s="14"/>
      <c r="AB177" s="12"/>
    </row>
    <row r="178" spans="4:28" ht="49.5" hidden="1" customHeight="1">
      <c r="D178" s="25"/>
      <c r="F178" s="25"/>
      <c r="T178" s="3"/>
      <c r="U178" s="3"/>
      <c r="V178" s="3"/>
      <c r="W178" s="3"/>
      <c r="X178" s="3"/>
      <c r="Y178" s="3"/>
      <c r="Z178" s="14"/>
      <c r="AA178" s="14"/>
      <c r="AB178" s="12"/>
    </row>
    <row r="179" spans="4:28" ht="49.5" hidden="1" customHeight="1">
      <c r="T179" s="3"/>
      <c r="U179" s="3"/>
      <c r="V179" s="3"/>
      <c r="W179" s="3"/>
      <c r="X179" s="3"/>
      <c r="Y179" s="3"/>
      <c r="Z179" s="14"/>
      <c r="AA179" s="14"/>
      <c r="AB179" s="12"/>
    </row>
    <row r="180" spans="4:28" ht="49.5" hidden="1" customHeight="1">
      <c r="D180" s="26"/>
      <c r="F180" s="26"/>
      <c r="T180" s="3"/>
      <c r="U180" s="3"/>
      <c r="V180" s="3"/>
      <c r="W180" s="3"/>
      <c r="X180" s="3"/>
      <c r="Y180" s="3"/>
      <c r="Z180" s="14"/>
      <c r="AA180" s="14"/>
      <c r="AB180" s="12"/>
    </row>
    <row r="181" spans="4:28" ht="49.5" hidden="1" customHeight="1">
      <c r="T181" s="3"/>
      <c r="U181" s="3"/>
      <c r="V181" s="3"/>
      <c r="W181" s="3"/>
      <c r="X181" s="3"/>
      <c r="Y181" s="3"/>
      <c r="Z181" s="14"/>
      <c r="AA181" s="14"/>
      <c r="AB181" s="12"/>
    </row>
    <row r="182" spans="4:28" ht="49.5" hidden="1" customHeight="1">
      <c r="T182" s="3"/>
      <c r="U182" s="3"/>
      <c r="V182" s="3"/>
      <c r="W182" s="3"/>
      <c r="X182" s="3"/>
      <c r="Y182" s="3"/>
      <c r="Z182" s="14"/>
      <c r="AA182" s="14"/>
      <c r="AB182" s="12"/>
    </row>
    <row r="183" spans="4:28" ht="49.5" hidden="1" customHeight="1">
      <c r="T183" s="3"/>
      <c r="U183" s="3"/>
      <c r="V183" s="3"/>
      <c r="W183" s="3"/>
      <c r="X183" s="3"/>
      <c r="Y183" s="3"/>
      <c r="Z183" s="14"/>
      <c r="AA183" s="14"/>
      <c r="AB183" s="12"/>
    </row>
    <row r="184" spans="4:28" ht="49.5" hidden="1" customHeight="1">
      <c r="D184" s="16">
        <v>1.25</v>
      </c>
      <c r="F184" s="16">
        <v>1.25</v>
      </c>
      <c r="I184" s="33" t="s">
        <v>69</v>
      </c>
      <c r="J184" s="33" t="s">
        <v>67</v>
      </c>
      <c r="T184" s="3"/>
      <c r="U184" s="3"/>
      <c r="V184" s="3"/>
      <c r="W184" s="3"/>
      <c r="X184" s="3"/>
      <c r="Y184" s="3"/>
      <c r="Z184" s="14"/>
      <c r="AA184" s="14"/>
      <c r="AB184" s="12"/>
    </row>
    <row r="185" spans="4:28" ht="49.5" hidden="1" customHeight="1">
      <c r="D185" s="16" t="e">
        <f>G170+#REF!+#REF!+G158+#REF!+G150+#REF!+G127+G103+#REF!+G98+G86+#REF!+G42+G19+#REF!</f>
        <v>#REF!</v>
      </c>
      <c r="F185" s="16" t="e">
        <f>I170+#REF!+#REF!+I158+#REF!+I150+#REF!+I127+I103+#REF!+I98+I86+#REF!+I42+I19+#REF!</f>
        <v>#REF!</v>
      </c>
      <c r="I185" s="53" t="e">
        <f>K170+#REF!+#REF!+K158+#REF!+K150+#REF!+K127+K103+#REF!+K98+K86+#REF!+K42+K19+#REF!</f>
        <v>#REF!</v>
      </c>
      <c r="J185" s="33" t="e">
        <f>M170+#REF!+#REF!+M158+#REF!+#REF!+M127+M103+#REF!+M98+M86+M42+#REF!+M19+M150+#REF!</f>
        <v>#REF!</v>
      </c>
      <c r="T185" s="3"/>
      <c r="U185" s="3"/>
      <c r="V185" s="3"/>
      <c r="W185" s="3"/>
      <c r="X185" s="3"/>
      <c r="Y185" s="3"/>
      <c r="Z185" s="14"/>
      <c r="AA185" s="14"/>
      <c r="AB185" s="12"/>
    </row>
    <row r="186" spans="4:28" ht="49.5" customHeight="1">
      <c r="T186" s="3"/>
      <c r="U186" s="3"/>
      <c r="V186" s="3"/>
      <c r="W186" s="3"/>
      <c r="X186" s="3"/>
      <c r="Y186" s="3"/>
      <c r="Z186" s="14"/>
      <c r="AA186" s="14"/>
      <c r="AB186" s="12"/>
    </row>
    <row r="187" spans="4:28" ht="49.5" customHeight="1">
      <c r="T187" s="3"/>
      <c r="U187" s="3"/>
      <c r="V187" s="3"/>
      <c r="W187" s="3"/>
      <c r="X187" s="3"/>
      <c r="Y187" s="3"/>
      <c r="Z187" s="14"/>
      <c r="AA187" s="14"/>
      <c r="AB187" s="12"/>
    </row>
    <row r="188" spans="4:28" ht="49.5" customHeight="1">
      <c r="T188" s="3"/>
      <c r="U188" s="3"/>
      <c r="V188" s="3"/>
      <c r="W188" s="3"/>
      <c r="X188" s="3"/>
      <c r="Y188" s="3"/>
      <c r="Z188" s="14"/>
      <c r="AA188" s="14"/>
      <c r="AB188" s="12"/>
    </row>
    <row r="189" spans="4:28" ht="49.5" customHeight="1">
      <c r="T189" s="3"/>
      <c r="U189" s="3"/>
      <c r="V189" s="3"/>
      <c r="W189" s="3"/>
      <c r="X189" s="3"/>
      <c r="Y189" s="3"/>
      <c r="Z189" s="14"/>
      <c r="AA189" s="14"/>
      <c r="AB189" s="12"/>
    </row>
    <row r="190" spans="4:28" ht="49.5" customHeight="1">
      <c r="T190" s="3"/>
      <c r="U190" s="3"/>
      <c r="V190" s="3"/>
      <c r="W190" s="3"/>
      <c r="X190" s="3"/>
      <c r="Y190" s="3"/>
      <c r="Z190" s="14"/>
      <c r="AA190" s="14"/>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row r="197" spans="26:28" ht="49.5" customHeight="1">
      <c r="Z197" s="12"/>
      <c r="AA197" s="12"/>
      <c r="AB197" s="12"/>
    </row>
    <row r="198" spans="26:28" ht="49.5" customHeight="1">
      <c r="Z198" s="12"/>
      <c r="AA198" s="12"/>
      <c r="AB198" s="12"/>
    </row>
    <row r="199" spans="26:28" ht="49.5" customHeight="1">
      <c r="Z199" s="12"/>
      <c r="AA199" s="12"/>
      <c r="AB199" s="12"/>
    </row>
    <row r="200" spans="26:28" ht="49.5" customHeight="1">
      <c r="Z200" s="12"/>
      <c r="AA200" s="12"/>
      <c r="AB200" s="12"/>
    </row>
    <row r="201" spans="26:28" ht="49.5" customHeight="1">
      <c r="Z201" s="12"/>
      <c r="AA201" s="12"/>
      <c r="AB201" s="12"/>
    </row>
    <row r="202" spans="26:28" ht="49.5" customHeight="1">
      <c r="Z202" s="12"/>
      <c r="AA202" s="12"/>
      <c r="AB202" s="12"/>
    </row>
    <row r="203" spans="26:28" ht="49.5" customHeight="1">
      <c r="Z203" s="12"/>
      <c r="AA203" s="12"/>
      <c r="AB203" s="12"/>
    </row>
    <row r="204" spans="26:28" ht="49.5" customHeight="1">
      <c r="Z204" s="12"/>
      <c r="AA204" s="12"/>
      <c r="AB204" s="12"/>
    </row>
  </sheetData>
  <mergeCells count="130">
    <mergeCell ref="G1:H1"/>
    <mergeCell ref="I1:J1"/>
    <mergeCell ref="D3:D4"/>
    <mergeCell ref="F3:F4"/>
    <mergeCell ref="G3:H3"/>
    <mergeCell ref="I3:J3"/>
    <mergeCell ref="K3:L3"/>
    <mergeCell ref="M3:N3"/>
    <mergeCell ref="O3:O4"/>
    <mergeCell ref="P3:P4"/>
    <mergeCell ref="Q3:Q4"/>
    <mergeCell ref="S3:S4"/>
    <mergeCell ref="I19:J19"/>
    <mergeCell ref="K19:L19"/>
    <mergeCell ref="M19:N19"/>
    <mergeCell ref="G21:H21"/>
    <mergeCell ref="I21:J21"/>
    <mergeCell ref="D24:D25"/>
    <mergeCell ref="F24:F25"/>
    <mergeCell ref="G24:H24"/>
    <mergeCell ref="I24:J24"/>
    <mergeCell ref="K24:L24"/>
    <mergeCell ref="M24:N24"/>
    <mergeCell ref="O24:O25"/>
    <mergeCell ref="P24:P25"/>
    <mergeCell ref="Q24:Q25"/>
    <mergeCell ref="S24:S25"/>
    <mergeCell ref="I20:J20"/>
    <mergeCell ref="G42:H42"/>
    <mergeCell ref="I42:J42"/>
    <mergeCell ref="K42:L42"/>
    <mergeCell ref="M42:N42"/>
    <mergeCell ref="G44:H44"/>
    <mergeCell ref="I44:J44"/>
    <mergeCell ref="G62:H62"/>
    <mergeCell ref="I62:J62"/>
    <mergeCell ref="K62:L62"/>
    <mergeCell ref="M62:N62"/>
    <mergeCell ref="G64:H64"/>
    <mergeCell ref="I64:J64"/>
    <mergeCell ref="D67:D68"/>
    <mergeCell ref="F67:F68"/>
    <mergeCell ref="G67:H67"/>
    <mergeCell ref="I67:J67"/>
    <mergeCell ref="K67:L67"/>
    <mergeCell ref="M67:N67"/>
    <mergeCell ref="O67:O68"/>
    <mergeCell ref="P67:P68"/>
    <mergeCell ref="Q67:Q68"/>
    <mergeCell ref="S67:S68"/>
    <mergeCell ref="G73:H73"/>
    <mergeCell ref="I73:J73"/>
    <mergeCell ref="M73:N73"/>
    <mergeCell ref="G86:H86"/>
    <mergeCell ref="I86:J86"/>
    <mergeCell ref="K86:L86"/>
    <mergeCell ref="M86:N86"/>
    <mergeCell ref="G88:H88"/>
    <mergeCell ref="I88:J88"/>
    <mergeCell ref="D91:D92"/>
    <mergeCell ref="F91:F92"/>
    <mergeCell ref="G91:H91"/>
    <mergeCell ref="I91:J91"/>
    <mergeCell ref="K91:L91"/>
    <mergeCell ref="M91:N91"/>
    <mergeCell ref="O91:O92"/>
    <mergeCell ref="P91:P92"/>
    <mergeCell ref="Q91:Q92"/>
    <mergeCell ref="S91:S92"/>
    <mergeCell ref="G98:H98"/>
    <mergeCell ref="I98:J98"/>
    <mergeCell ref="K98:L98"/>
    <mergeCell ref="M98:N98"/>
    <mergeCell ref="O98:P98"/>
    <mergeCell ref="G103:H103"/>
    <mergeCell ref="I103:J103"/>
    <mergeCell ref="K103:L103"/>
    <mergeCell ref="M103:N103"/>
    <mergeCell ref="G105:H105"/>
    <mergeCell ref="I105:J105"/>
    <mergeCell ref="D108:D109"/>
    <mergeCell ref="F108:F109"/>
    <mergeCell ref="G108:H108"/>
    <mergeCell ref="I108:J108"/>
    <mergeCell ref="K108:L108"/>
    <mergeCell ref="M108:N108"/>
    <mergeCell ref="O108:O109"/>
    <mergeCell ref="P108:P109"/>
    <mergeCell ref="Q108:Q109"/>
    <mergeCell ref="S108:S109"/>
    <mergeCell ref="G127:H127"/>
    <mergeCell ref="I127:J127"/>
    <mergeCell ref="K127:L127"/>
    <mergeCell ref="M127:N127"/>
    <mergeCell ref="G129:H129"/>
    <mergeCell ref="I129:J129"/>
    <mergeCell ref="S132:S133"/>
    <mergeCell ref="G137:H137"/>
    <mergeCell ref="I137:J137"/>
    <mergeCell ref="K137:L137"/>
    <mergeCell ref="M137:N137"/>
    <mergeCell ref="D132:D133"/>
    <mergeCell ref="F132:F133"/>
    <mergeCell ref="G132:H132"/>
    <mergeCell ref="I132:J132"/>
    <mergeCell ref="K132:L132"/>
    <mergeCell ref="P1:Q1"/>
    <mergeCell ref="G170:H170"/>
    <mergeCell ref="I170:J170"/>
    <mergeCell ref="K170:L170"/>
    <mergeCell ref="M170:N170"/>
    <mergeCell ref="G158:H158"/>
    <mergeCell ref="I158:J158"/>
    <mergeCell ref="K158:L158"/>
    <mergeCell ref="M158:N158"/>
    <mergeCell ref="G163:H163"/>
    <mergeCell ref="I163:J163"/>
    <mergeCell ref="O150:P150"/>
    <mergeCell ref="G153:H153"/>
    <mergeCell ref="I153:J153"/>
    <mergeCell ref="O132:O133"/>
    <mergeCell ref="P132:P133"/>
    <mergeCell ref="Q132:Q133"/>
    <mergeCell ref="M132:N132"/>
    <mergeCell ref="K163:L163"/>
    <mergeCell ref="M163:N163"/>
    <mergeCell ref="G150:H150"/>
    <mergeCell ref="I150:J150"/>
    <mergeCell ref="K150:L150"/>
    <mergeCell ref="M150:N150"/>
  </mergeCells>
  <printOptions horizontalCentered="1"/>
  <pageMargins left="0" right="0" top="0.78740157480314965" bottom="0.98425196850393704" header="0.39370078740157483" footer="0.59055118110236227"/>
  <pageSetup paperSize="9" scale="90"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6"/>
  <sheetViews>
    <sheetView view="pageBreakPreview" topLeftCell="F1" zoomScaleNormal="90" zoomScaleSheetLayoutView="100" workbookViewId="0">
      <selection activeCell="I6" sqref="I6"/>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9.42578125" style="16" customWidth="1"/>
    <col min="7" max="7" width="14.85546875" style="95" customWidth="1"/>
    <col min="8" max="8" width="14.28515625" style="16" customWidth="1"/>
    <col min="9" max="9" width="13.140625" style="33" customWidth="1"/>
    <col min="10" max="10" width="8.85546875"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9" t="s">
        <v>142</v>
      </c>
      <c r="K4" s="357" t="s">
        <v>4</v>
      </c>
      <c r="L4" s="357" t="s">
        <v>3</v>
      </c>
      <c r="M4" s="100" t="s">
        <v>141</v>
      </c>
      <c r="N4" s="357" t="s">
        <v>140</v>
      </c>
      <c r="O4" s="429"/>
      <c r="P4" s="388"/>
      <c r="Q4" s="388"/>
      <c r="R4" s="2"/>
      <c r="S4" s="421"/>
    </row>
    <row r="5" spans="2:19" ht="23.25" customHeight="1" thickBot="1">
      <c r="D5" s="85"/>
      <c r="F5" s="176"/>
      <c r="G5" s="145"/>
      <c r="H5" s="136"/>
      <c r="I5" s="146"/>
      <c r="J5" s="146"/>
      <c r="K5" s="136"/>
      <c r="L5" s="136"/>
      <c r="M5" s="145" t="s">
        <v>381</v>
      </c>
      <c r="N5" s="136"/>
      <c r="O5" s="136"/>
      <c r="P5" s="136"/>
      <c r="Q5" s="86" t="s">
        <v>421</v>
      </c>
      <c r="R5" s="42"/>
      <c r="S5" s="220"/>
    </row>
    <row r="6" spans="2:19" ht="33" customHeight="1">
      <c r="B6" s="259">
        <v>500</v>
      </c>
      <c r="D6" s="35"/>
      <c r="F6" s="35"/>
      <c r="G6" s="269">
        <f>(N6-J6)*O6</f>
        <v>201816199.99999994</v>
      </c>
      <c r="H6" s="269"/>
      <c r="I6" s="269">
        <f>J6*O6</f>
        <v>782283800.00000012</v>
      </c>
      <c r="J6" s="349">
        <v>516.70000000000005</v>
      </c>
      <c r="K6" s="6"/>
      <c r="L6" s="28"/>
      <c r="M6" s="269">
        <f>N6*O6</f>
        <v>984100000</v>
      </c>
      <c r="N6" s="6">
        <v>650</v>
      </c>
      <c r="O6" s="22">
        <v>1514000</v>
      </c>
      <c r="P6" s="6" t="s">
        <v>155</v>
      </c>
      <c r="Q6" s="6" t="s">
        <v>319</v>
      </c>
      <c r="R6" s="63" t="s">
        <v>158</v>
      </c>
      <c r="S6" s="34" t="s">
        <v>317</v>
      </c>
    </row>
    <row r="7" spans="2:19" ht="33" customHeight="1">
      <c r="B7" s="259">
        <v>300</v>
      </c>
      <c r="D7" s="20"/>
      <c r="F7" s="20"/>
      <c r="G7" s="269">
        <f>(N7-J7)*O7</f>
        <v>23922000</v>
      </c>
      <c r="H7" s="269"/>
      <c r="I7" s="269">
        <f>J7*O7</f>
        <v>15677999.999999998</v>
      </c>
      <c r="J7" s="349">
        <v>87.1</v>
      </c>
      <c r="K7" s="6"/>
      <c r="L7" s="28"/>
      <c r="M7" s="269">
        <f>N7*O7</f>
        <v>39600000</v>
      </c>
      <c r="N7" s="6">
        <v>220</v>
      </c>
      <c r="O7" s="359">
        <v>180000</v>
      </c>
      <c r="P7" s="6" t="s">
        <v>155</v>
      </c>
      <c r="Q7" s="6" t="s">
        <v>423</v>
      </c>
      <c r="R7" s="63" t="s">
        <v>159</v>
      </c>
      <c r="S7" s="358" t="s">
        <v>422</v>
      </c>
    </row>
    <row r="8" spans="2:19" ht="33" customHeight="1">
      <c r="B8" s="259">
        <v>1050</v>
      </c>
      <c r="D8" s="20">
        <v>521.12</v>
      </c>
      <c r="F8" s="20"/>
      <c r="G8" s="269"/>
      <c r="H8" s="269">
        <f>(J8-N8)*O8</f>
        <v>0</v>
      </c>
      <c r="I8" s="269"/>
      <c r="J8" s="49"/>
      <c r="K8" s="6"/>
      <c r="L8" s="6"/>
      <c r="M8" s="191"/>
      <c r="N8" s="6"/>
      <c r="O8" s="22"/>
      <c r="P8" s="6"/>
      <c r="Q8" s="6"/>
      <c r="R8" s="63"/>
      <c r="S8" s="34"/>
    </row>
    <row r="9" spans="2:19" ht="33" customHeight="1">
      <c r="B9" s="259" t="s">
        <v>257</v>
      </c>
      <c r="C9" s="3" t="s">
        <v>280</v>
      </c>
      <c r="D9" s="20">
        <v>496.94</v>
      </c>
      <c r="F9" s="20"/>
      <c r="G9" s="269"/>
      <c r="H9" s="269">
        <f>(J9-N9)*O9</f>
        <v>0</v>
      </c>
      <c r="I9" s="269"/>
      <c r="J9" s="49"/>
      <c r="K9" s="6"/>
      <c r="L9" s="6"/>
      <c r="M9" s="191"/>
      <c r="N9" s="6"/>
      <c r="O9" s="22"/>
      <c r="P9" s="6"/>
      <c r="Q9" s="4"/>
      <c r="R9" s="63"/>
      <c r="S9" s="36"/>
    </row>
    <row r="10" spans="2:19" ht="33" customHeight="1">
      <c r="D10" s="20"/>
      <c r="F10" s="20"/>
      <c r="G10" s="269"/>
      <c r="H10" s="269"/>
      <c r="I10" s="269"/>
      <c r="J10" s="49"/>
      <c r="K10" s="6"/>
      <c r="L10" s="6"/>
      <c r="M10" s="191"/>
      <c r="N10" s="6"/>
      <c r="O10" s="22"/>
      <c r="P10" s="6"/>
      <c r="Q10" s="4"/>
      <c r="R10" s="63"/>
      <c r="S10" s="36"/>
    </row>
    <row r="11" spans="2:19" ht="49.5" customHeight="1" thickBot="1">
      <c r="D11" s="116"/>
      <c r="F11" s="116"/>
      <c r="G11" s="337">
        <f>SUM(G6:G10)</f>
        <v>225738199.99999994</v>
      </c>
      <c r="H11" s="337">
        <f>SUM(H6:H10)</f>
        <v>0</v>
      </c>
      <c r="I11" s="402">
        <f>SUM(I6:I10)</f>
        <v>797961800.00000012</v>
      </c>
      <c r="J11" s="402"/>
      <c r="K11" s="400">
        <f>SUM(K6:K8)</f>
        <v>0</v>
      </c>
      <c r="L11" s="400"/>
      <c r="M11" s="400">
        <f>SUM(M6:M10)</f>
        <v>1023700000</v>
      </c>
      <c r="N11" s="400"/>
      <c r="O11" s="39"/>
      <c r="P11" s="115"/>
      <c r="Q11" s="115" t="s">
        <v>318</v>
      </c>
      <c r="R11" s="8"/>
      <c r="S11" s="206"/>
    </row>
    <row r="12" spans="2:19" ht="49.5" customHeight="1">
      <c r="D12" s="13"/>
      <c r="F12" s="13"/>
      <c r="G12" s="99"/>
      <c r="H12" s="37"/>
      <c r="I12" s="50"/>
      <c r="J12" s="50"/>
      <c r="K12" s="37"/>
      <c r="L12" s="37"/>
      <c r="M12" s="99"/>
      <c r="N12" s="37"/>
      <c r="O12" s="24"/>
      <c r="P12" s="9"/>
      <c r="Q12" s="9"/>
      <c r="R12" s="9"/>
      <c r="S12" s="208"/>
    </row>
    <row r="13" spans="2:19" ht="23.25" hidden="1" customHeight="1">
      <c r="D13" s="77"/>
      <c r="F13" s="173"/>
      <c r="G13" s="382" t="s">
        <v>300</v>
      </c>
      <c r="H13" s="382"/>
      <c r="I13" s="382" t="s">
        <v>145</v>
      </c>
      <c r="J13" s="382"/>
      <c r="K13" s="78"/>
      <c r="L13" s="78"/>
      <c r="M13" s="199"/>
      <c r="N13" s="78"/>
      <c r="O13" s="79"/>
      <c r="P13" s="78"/>
      <c r="Q13" s="80" t="s">
        <v>171</v>
      </c>
      <c r="R13" s="41"/>
      <c r="S13" s="219"/>
    </row>
    <row r="14" spans="2:19" ht="23.25" hidden="1" customHeight="1">
      <c r="D14" s="81"/>
      <c r="F14" s="174"/>
      <c r="G14" s="96"/>
      <c r="H14" s="82"/>
      <c r="I14" s="83"/>
      <c r="J14" s="143" t="s">
        <v>146</v>
      </c>
      <c r="K14" s="144"/>
      <c r="L14" s="144"/>
      <c r="M14" s="200"/>
      <c r="N14" s="144"/>
      <c r="O14" s="135"/>
      <c r="P14" s="144"/>
      <c r="Q14" s="84" t="s">
        <v>292</v>
      </c>
      <c r="R14" s="56"/>
      <c r="S14" s="175"/>
    </row>
    <row r="15" spans="2:19" ht="23.25" hidden="1" customHeight="1" thickBot="1">
      <c r="D15" s="85"/>
      <c r="F15" s="85"/>
      <c r="G15" s="145"/>
      <c r="H15" s="136"/>
      <c r="I15" s="146"/>
      <c r="J15" s="146"/>
      <c r="K15" s="136"/>
      <c r="L15" s="136"/>
      <c r="M15" s="145" t="s">
        <v>183</v>
      </c>
      <c r="N15" s="136"/>
      <c r="O15" s="136"/>
      <c r="P15" s="136"/>
      <c r="Q15" s="86" t="s">
        <v>184</v>
      </c>
      <c r="R15" s="42"/>
      <c r="S15" s="205"/>
    </row>
    <row r="16" spans="2:19" ht="25.5" hidden="1" customHeight="1">
      <c r="D16" s="385" t="s">
        <v>144</v>
      </c>
      <c r="F16" s="385" t="s">
        <v>144</v>
      </c>
      <c r="G16" s="406" t="s">
        <v>63</v>
      </c>
      <c r="H16" s="406"/>
      <c r="I16" s="409" t="s">
        <v>170</v>
      </c>
      <c r="J16" s="409"/>
      <c r="K16" s="401" t="s">
        <v>2</v>
      </c>
      <c r="L16" s="401"/>
      <c r="M16" s="401" t="s">
        <v>220</v>
      </c>
      <c r="N16" s="401"/>
      <c r="O16" s="426" t="s">
        <v>139</v>
      </c>
      <c r="P16" s="401" t="s">
        <v>1</v>
      </c>
      <c r="Q16" s="401" t="s">
        <v>138</v>
      </c>
      <c r="R16" s="62"/>
      <c r="S16" s="424" t="s">
        <v>0</v>
      </c>
    </row>
    <row r="17" spans="2:20" ht="25.5" hidden="1" customHeight="1">
      <c r="D17" s="386"/>
      <c r="F17" s="386"/>
      <c r="G17" s="97" t="s">
        <v>143</v>
      </c>
      <c r="H17" s="49" t="s">
        <v>142</v>
      </c>
      <c r="I17" s="49" t="s">
        <v>143</v>
      </c>
      <c r="J17" s="49" t="s">
        <v>142</v>
      </c>
      <c r="K17" s="1" t="s">
        <v>4</v>
      </c>
      <c r="L17" s="1" t="s">
        <v>3</v>
      </c>
      <c r="M17" s="100" t="s">
        <v>141</v>
      </c>
      <c r="N17" s="1" t="s">
        <v>140</v>
      </c>
      <c r="O17" s="427"/>
      <c r="P17" s="422"/>
      <c r="Q17" s="422"/>
      <c r="R17" s="2"/>
      <c r="S17" s="425"/>
    </row>
    <row r="18" spans="2:20" ht="30.75" hidden="1" customHeight="1">
      <c r="D18" s="111">
        <v>10848.34</v>
      </c>
      <c r="E18" s="109"/>
      <c r="F18" s="111"/>
      <c r="G18" s="100">
        <f t="shared" ref="G18:G33" si="0">H18*O18</f>
        <v>29289600</v>
      </c>
      <c r="H18" s="1">
        <v>10848</v>
      </c>
      <c r="I18" s="40">
        <f>J18*O18</f>
        <v>-9036900</v>
      </c>
      <c r="J18" s="49">
        <f>H18-N18</f>
        <v>-3347</v>
      </c>
      <c r="K18" s="6"/>
      <c r="L18" s="4"/>
      <c r="M18" s="191">
        <f t="shared" ref="M18:M33" si="1">N18*O18</f>
        <v>38326500</v>
      </c>
      <c r="N18" s="4">
        <v>14195</v>
      </c>
      <c r="O18" s="22">
        <v>2700</v>
      </c>
      <c r="P18" s="6" t="s">
        <v>35</v>
      </c>
      <c r="Q18" s="45" t="s">
        <v>152</v>
      </c>
      <c r="R18" s="63" t="s">
        <v>158</v>
      </c>
      <c r="S18" s="38" t="s">
        <v>71</v>
      </c>
      <c r="T18" s="30"/>
    </row>
    <row r="19" spans="2:20" ht="30.75" hidden="1" customHeight="1">
      <c r="D19" s="110">
        <v>1205.3599999999999</v>
      </c>
      <c r="E19" s="109"/>
      <c r="F19" s="110"/>
      <c r="G19" s="100">
        <f t="shared" si="0"/>
        <v>18195500</v>
      </c>
      <c r="H19" s="1">
        <v>1205</v>
      </c>
      <c r="I19" s="40">
        <f t="shared" ref="I19:I33" si="2">J19*O19</f>
        <v>18195500</v>
      </c>
      <c r="J19" s="49">
        <f t="shared" ref="J19:J32" si="3">H19-N19</f>
        <v>1205</v>
      </c>
      <c r="K19" s="6"/>
      <c r="L19" s="4"/>
      <c r="M19" s="191">
        <f t="shared" si="1"/>
        <v>0</v>
      </c>
      <c r="N19" s="4"/>
      <c r="O19" s="22">
        <v>15100</v>
      </c>
      <c r="P19" s="6" t="s">
        <v>35</v>
      </c>
      <c r="Q19" s="45" t="s">
        <v>73</v>
      </c>
      <c r="R19" s="63" t="s">
        <v>158</v>
      </c>
      <c r="S19" s="38" t="s">
        <v>72</v>
      </c>
      <c r="T19" s="30"/>
    </row>
    <row r="20" spans="2:20" ht="30.75" hidden="1" customHeight="1">
      <c r="B20" s="259">
        <v>1500</v>
      </c>
      <c r="D20" s="110">
        <v>1250</v>
      </c>
      <c r="E20" s="109"/>
      <c r="F20" s="110"/>
      <c r="G20" s="100">
        <f t="shared" si="0"/>
        <v>42900000</v>
      </c>
      <c r="H20" s="1">
        <f>1250+1500</f>
        <v>2750</v>
      </c>
      <c r="I20" s="40">
        <f t="shared" si="2"/>
        <v>42900000</v>
      </c>
      <c r="J20" s="49">
        <f t="shared" si="3"/>
        <v>2750</v>
      </c>
      <c r="K20" s="6"/>
      <c r="L20" s="4"/>
      <c r="M20" s="191">
        <f t="shared" si="1"/>
        <v>0</v>
      </c>
      <c r="N20" s="4"/>
      <c r="O20" s="22">
        <v>15600</v>
      </c>
      <c r="P20" s="6" t="s">
        <v>35</v>
      </c>
      <c r="Q20" s="45" t="s">
        <v>246</v>
      </c>
      <c r="R20" s="63" t="s">
        <v>158</v>
      </c>
      <c r="S20" s="38" t="s">
        <v>245</v>
      </c>
      <c r="T20" s="30"/>
    </row>
    <row r="21" spans="2:20" ht="30.75" hidden="1" customHeight="1">
      <c r="B21" s="259" t="s">
        <v>265</v>
      </c>
      <c r="C21" s="3" t="s">
        <v>281</v>
      </c>
      <c r="D21" s="110">
        <v>942</v>
      </c>
      <c r="E21" s="109"/>
      <c r="F21" s="110"/>
      <c r="G21" s="100">
        <f t="shared" si="0"/>
        <v>10413420</v>
      </c>
      <c r="H21" s="1">
        <f>942+1000*0.4+420</f>
        <v>1762</v>
      </c>
      <c r="I21" s="40">
        <f t="shared" si="2"/>
        <v>2139420</v>
      </c>
      <c r="J21" s="49">
        <f t="shared" si="3"/>
        <v>362</v>
      </c>
      <c r="K21" s="6"/>
      <c r="L21" s="4"/>
      <c r="M21" s="191">
        <f t="shared" si="1"/>
        <v>8274000</v>
      </c>
      <c r="N21" s="4">
        <v>1400</v>
      </c>
      <c r="O21" s="22">
        <v>5910</v>
      </c>
      <c r="P21" s="6" t="s">
        <v>35</v>
      </c>
      <c r="Q21" s="45" t="s">
        <v>75</v>
      </c>
      <c r="R21" s="63" t="s">
        <v>158</v>
      </c>
      <c r="S21" s="38" t="s">
        <v>74</v>
      </c>
      <c r="T21" s="30"/>
    </row>
    <row r="22" spans="2:20" ht="30.75" hidden="1" customHeight="1">
      <c r="B22" s="259" t="s">
        <v>266</v>
      </c>
      <c r="D22" s="110">
        <v>1152.5999999999999</v>
      </c>
      <c r="E22" s="109"/>
      <c r="F22" s="110"/>
      <c r="G22" s="100">
        <f t="shared" si="0"/>
        <v>40759200</v>
      </c>
      <c r="H22" s="1">
        <f>1152+2520</f>
        <v>3672</v>
      </c>
      <c r="I22" s="40">
        <f t="shared" si="2"/>
        <v>40759200</v>
      </c>
      <c r="J22" s="49">
        <f t="shared" si="3"/>
        <v>3672</v>
      </c>
      <c r="K22" s="6"/>
      <c r="L22" s="4"/>
      <c r="M22" s="191"/>
      <c r="N22" s="4"/>
      <c r="O22" s="22">
        <v>11100</v>
      </c>
      <c r="P22" s="6" t="s">
        <v>35</v>
      </c>
      <c r="Q22" s="45" t="s">
        <v>248</v>
      </c>
      <c r="R22" s="63" t="s">
        <v>158</v>
      </c>
      <c r="S22" s="38" t="s">
        <v>247</v>
      </c>
      <c r="T22" s="30"/>
    </row>
    <row r="23" spans="2:20" ht="30.75" hidden="1" customHeight="1">
      <c r="C23" s="3" t="s">
        <v>282</v>
      </c>
      <c r="D23" s="110">
        <v>1017.33</v>
      </c>
      <c r="E23" s="109"/>
      <c r="F23" s="110"/>
      <c r="G23" s="100">
        <f t="shared" si="0"/>
        <v>97239700</v>
      </c>
      <c r="H23" s="1">
        <f>1017+1000*0.5</f>
        <v>1517</v>
      </c>
      <c r="I23" s="40">
        <f t="shared" si="2"/>
        <v>-5320300</v>
      </c>
      <c r="J23" s="49">
        <f t="shared" si="3"/>
        <v>-83</v>
      </c>
      <c r="K23" s="6"/>
      <c r="L23" s="4"/>
      <c r="M23" s="191">
        <f t="shared" si="1"/>
        <v>102560000</v>
      </c>
      <c r="N23" s="4">
        <v>1600</v>
      </c>
      <c r="O23" s="22">
        <v>64100</v>
      </c>
      <c r="P23" s="6" t="s">
        <v>35</v>
      </c>
      <c r="Q23" s="45" t="s">
        <v>77</v>
      </c>
      <c r="R23" s="63" t="s">
        <v>158</v>
      </c>
      <c r="S23" s="38" t="s">
        <v>76</v>
      </c>
      <c r="T23" s="30"/>
    </row>
    <row r="24" spans="2:20" ht="30.75" hidden="1" customHeight="1">
      <c r="B24" s="259">
        <v>800</v>
      </c>
      <c r="D24" s="110"/>
      <c r="E24" s="109"/>
      <c r="F24" s="110"/>
      <c r="G24" s="100">
        <f t="shared" si="0"/>
        <v>740000</v>
      </c>
      <c r="H24" s="1">
        <v>800</v>
      </c>
      <c r="I24" s="40">
        <f t="shared" si="2"/>
        <v>740000</v>
      </c>
      <c r="J24" s="49">
        <f t="shared" si="3"/>
        <v>800</v>
      </c>
      <c r="K24" s="6"/>
      <c r="L24" s="4"/>
      <c r="M24" s="191">
        <f t="shared" si="1"/>
        <v>0</v>
      </c>
      <c r="N24" s="4"/>
      <c r="O24" s="22">
        <v>925</v>
      </c>
      <c r="P24" s="6" t="s">
        <v>35</v>
      </c>
      <c r="Q24" s="45" t="s">
        <v>80</v>
      </c>
      <c r="R24" s="63" t="s">
        <v>158</v>
      </c>
      <c r="S24" s="38" t="s">
        <v>78</v>
      </c>
      <c r="T24" s="30"/>
    </row>
    <row r="25" spans="2:20" ht="30.75" hidden="1" customHeight="1">
      <c r="D25" s="110"/>
      <c r="E25" s="109"/>
      <c r="F25" s="110"/>
      <c r="G25" s="100">
        <f t="shared" si="0"/>
        <v>2280000</v>
      </c>
      <c r="H25" s="1">
        <v>300</v>
      </c>
      <c r="I25" s="40">
        <f t="shared" si="2"/>
        <v>2280000</v>
      </c>
      <c r="J25" s="49">
        <f t="shared" si="3"/>
        <v>300</v>
      </c>
      <c r="K25" s="6"/>
      <c r="L25" s="4"/>
      <c r="M25" s="191">
        <f t="shared" si="1"/>
        <v>0</v>
      </c>
      <c r="N25" s="4"/>
      <c r="O25" s="22">
        <v>7600</v>
      </c>
      <c r="P25" s="6" t="s">
        <v>35</v>
      </c>
      <c r="Q25" s="45" t="s">
        <v>81</v>
      </c>
      <c r="R25" s="63" t="s">
        <v>158</v>
      </c>
      <c r="S25" s="38" t="s">
        <v>79</v>
      </c>
      <c r="T25" s="30"/>
    </row>
    <row r="26" spans="2:20" ht="30.75" hidden="1" customHeight="1">
      <c r="B26" s="259">
        <v>4200</v>
      </c>
      <c r="C26" s="3">
        <v>1000</v>
      </c>
      <c r="D26" s="110">
        <v>16823.82</v>
      </c>
      <c r="E26" s="109"/>
      <c r="F26" s="110"/>
      <c r="G26" s="100">
        <f t="shared" si="0"/>
        <v>66509460</v>
      </c>
      <c r="H26" s="203">
        <f>16823+1000+4200</f>
        <v>22023</v>
      </c>
      <c r="I26" s="40">
        <f t="shared" si="2"/>
        <v>57449460</v>
      </c>
      <c r="J26" s="49">
        <f t="shared" si="3"/>
        <v>19023</v>
      </c>
      <c r="K26" s="6"/>
      <c r="L26" s="4"/>
      <c r="M26" s="191">
        <f t="shared" si="1"/>
        <v>9060000</v>
      </c>
      <c r="N26" s="4">
        <v>3000</v>
      </c>
      <c r="O26" s="22">
        <v>3020</v>
      </c>
      <c r="P26" s="6" t="s">
        <v>35</v>
      </c>
      <c r="Q26" s="46" t="s">
        <v>41</v>
      </c>
      <c r="R26" s="63" t="s">
        <v>158</v>
      </c>
      <c r="S26" s="31" t="s">
        <v>37</v>
      </c>
      <c r="T26" s="29"/>
    </row>
    <row r="27" spans="2:20" ht="30.75" hidden="1" customHeight="1">
      <c r="B27" s="259" t="s">
        <v>267</v>
      </c>
      <c r="C27" s="3" t="s">
        <v>283</v>
      </c>
      <c r="D27" s="110">
        <v>67702.559999999998</v>
      </c>
      <c r="E27" s="109"/>
      <c r="F27" s="110"/>
      <c r="G27" s="100">
        <f t="shared" si="0"/>
        <v>23453030</v>
      </c>
      <c r="H27" s="1">
        <f>67702+4*1000+4200*4</f>
        <v>88502</v>
      </c>
      <c r="I27" s="40">
        <f t="shared" si="2"/>
        <v>20273030</v>
      </c>
      <c r="J27" s="49">
        <f t="shared" si="3"/>
        <v>76502</v>
      </c>
      <c r="K27" s="6"/>
      <c r="L27" s="4"/>
      <c r="M27" s="191">
        <f t="shared" si="1"/>
        <v>3180000</v>
      </c>
      <c r="N27" s="4">
        <v>12000</v>
      </c>
      <c r="O27" s="22">
        <v>265</v>
      </c>
      <c r="P27" s="6" t="s">
        <v>35</v>
      </c>
      <c r="Q27" s="46" t="s">
        <v>42</v>
      </c>
      <c r="R27" s="63" t="s">
        <v>158</v>
      </c>
      <c r="S27" s="31" t="s">
        <v>38</v>
      </c>
      <c r="T27" s="29"/>
    </row>
    <row r="28" spans="2:20" ht="30.75" hidden="1" customHeight="1">
      <c r="B28" s="259" t="s">
        <v>268</v>
      </c>
      <c r="C28" s="3" t="s">
        <v>284</v>
      </c>
      <c r="D28" s="110">
        <v>161360.4</v>
      </c>
      <c r="E28" s="109"/>
      <c r="F28" s="110"/>
      <c r="G28" s="100">
        <f t="shared" si="0"/>
        <v>183612800</v>
      </c>
      <c r="H28" s="1">
        <f>161360+5*1000+4200*5</f>
        <v>187360</v>
      </c>
      <c r="I28" s="40">
        <f t="shared" si="2"/>
        <v>4466840</v>
      </c>
      <c r="J28" s="49">
        <f t="shared" si="3"/>
        <v>4558</v>
      </c>
      <c r="K28" s="6"/>
      <c r="L28" s="4"/>
      <c r="M28" s="191">
        <f t="shared" si="1"/>
        <v>179145960</v>
      </c>
      <c r="N28" s="4">
        <v>182802</v>
      </c>
      <c r="O28" s="22">
        <v>980</v>
      </c>
      <c r="P28" s="6" t="s">
        <v>44</v>
      </c>
      <c r="Q28" s="46" t="s">
        <v>222</v>
      </c>
      <c r="R28" s="63" t="s">
        <v>158</v>
      </c>
      <c r="S28" s="31" t="s">
        <v>39</v>
      </c>
      <c r="T28" s="29"/>
    </row>
    <row r="29" spans="2:20" ht="30.75" hidden="1" customHeight="1">
      <c r="D29" s="110">
        <v>103500</v>
      </c>
      <c r="E29" s="109"/>
      <c r="F29" s="110"/>
      <c r="G29" s="100">
        <f t="shared" si="0"/>
        <v>92632500</v>
      </c>
      <c r="H29" s="1">
        <v>103500</v>
      </c>
      <c r="I29" s="40">
        <f t="shared" si="2"/>
        <v>-10292500</v>
      </c>
      <c r="J29" s="49">
        <f t="shared" si="3"/>
        <v>-11500</v>
      </c>
      <c r="K29" s="6"/>
      <c r="L29" s="4"/>
      <c r="M29" s="191">
        <f t="shared" si="1"/>
        <v>102925000</v>
      </c>
      <c r="N29" s="4">
        <v>115000</v>
      </c>
      <c r="O29" s="22">
        <v>895</v>
      </c>
      <c r="P29" s="6" t="s">
        <v>44</v>
      </c>
      <c r="Q29" s="46" t="s">
        <v>223</v>
      </c>
      <c r="R29" s="63" t="s">
        <v>158</v>
      </c>
      <c r="S29" s="31" t="s">
        <v>221</v>
      </c>
      <c r="T29" s="29"/>
    </row>
    <row r="30" spans="2:20" ht="30.75" hidden="1" customHeight="1">
      <c r="B30" s="259" t="s">
        <v>269</v>
      </c>
      <c r="C30" s="3" t="s">
        <v>285</v>
      </c>
      <c r="D30" s="110">
        <v>8037.38</v>
      </c>
      <c r="E30" s="109"/>
      <c r="F30" s="110"/>
      <c r="G30" s="100">
        <f t="shared" si="0"/>
        <v>14662800</v>
      </c>
      <c r="H30" s="1">
        <f>8037+780*0.5*5+2232</f>
        <v>12219</v>
      </c>
      <c r="I30" s="40">
        <f t="shared" si="2"/>
        <v>14662800</v>
      </c>
      <c r="J30" s="49">
        <f t="shared" si="3"/>
        <v>12219</v>
      </c>
      <c r="K30" s="6"/>
      <c r="L30" s="4"/>
      <c r="M30" s="191">
        <f t="shared" si="1"/>
        <v>0</v>
      </c>
      <c r="N30" s="4"/>
      <c r="O30" s="105">
        <v>1200</v>
      </c>
      <c r="P30" s="10" t="s">
        <v>44</v>
      </c>
      <c r="Q30" s="47" t="s">
        <v>43</v>
      </c>
      <c r="R30" s="63" t="s">
        <v>158</v>
      </c>
      <c r="S30" s="31" t="s">
        <v>40</v>
      </c>
      <c r="T30" s="29"/>
    </row>
    <row r="31" spans="2:20" ht="30.75" hidden="1" customHeight="1">
      <c r="D31" s="110">
        <v>23833.7</v>
      </c>
      <c r="E31" s="109"/>
      <c r="F31" s="110"/>
      <c r="G31" s="100">
        <f t="shared" si="0"/>
        <v>412300000</v>
      </c>
      <c r="H31" s="1">
        <f>H33+H131</f>
        <v>11780</v>
      </c>
      <c r="I31" s="40">
        <f t="shared" si="2"/>
        <v>-791420000</v>
      </c>
      <c r="J31" s="49">
        <f t="shared" si="3"/>
        <v>-22612</v>
      </c>
      <c r="K31" s="6"/>
      <c r="L31" s="4"/>
      <c r="M31" s="192">
        <f t="shared" si="1"/>
        <v>1203720000</v>
      </c>
      <c r="N31" s="4">
        <v>34392</v>
      </c>
      <c r="O31" s="105">
        <v>35000</v>
      </c>
      <c r="P31" s="6" t="s">
        <v>35</v>
      </c>
      <c r="Q31" s="48" t="s">
        <v>225</v>
      </c>
      <c r="R31" s="63" t="s">
        <v>158</v>
      </c>
      <c r="S31" s="31" t="s">
        <v>224</v>
      </c>
      <c r="T31" s="29"/>
    </row>
    <row r="32" spans="2:20" ht="30.75" hidden="1" customHeight="1">
      <c r="D32" s="112"/>
      <c r="E32" s="109"/>
      <c r="F32" s="112"/>
      <c r="G32" s="100">
        <f t="shared" si="0"/>
        <v>2060000</v>
      </c>
      <c r="H32" s="1">
        <v>4000</v>
      </c>
      <c r="I32" s="40">
        <f t="shared" si="2"/>
        <v>2060000</v>
      </c>
      <c r="J32" s="49">
        <f t="shared" si="3"/>
        <v>4000</v>
      </c>
      <c r="K32" s="6"/>
      <c r="L32" s="4"/>
      <c r="M32" s="191">
        <f t="shared" si="1"/>
        <v>0</v>
      </c>
      <c r="N32" s="4"/>
      <c r="O32" s="105">
        <v>515</v>
      </c>
      <c r="P32" s="6" t="s">
        <v>35</v>
      </c>
      <c r="Q32" s="48" t="s">
        <v>154</v>
      </c>
      <c r="R32" s="63" t="s">
        <v>158</v>
      </c>
      <c r="S32" s="31" t="s">
        <v>153</v>
      </c>
      <c r="T32" s="29"/>
    </row>
    <row r="33" spans="2:20" ht="30.75" hidden="1" customHeight="1">
      <c r="D33" s="122">
        <v>4500</v>
      </c>
      <c r="E33" s="109"/>
      <c r="F33" s="122"/>
      <c r="G33" s="100">
        <f t="shared" si="0"/>
        <v>306000000</v>
      </c>
      <c r="H33" s="224">
        <v>4500</v>
      </c>
      <c r="I33" s="40">
        <f t="shared" si="2"/>
        <v>-34000000</v>
      </c>
      <c r="J33" s="49">
        <f>H33-N33</f>
        <v>-500</v>
      </c>
      <c r="K33" s="7"/>
      <c r="L33" s="59"/>
      <c r="M33" s="191">
        <f t="shared" si="1"/>
        <v>340000000</v>
      </c>
      <c r="N33" s="59">
        <v>5000</v>
      </c>
      <c r="O33" s="225">
        <v>68000</v>
      </c>
      <c r="P33" s="6" t="s">
        <v>35</v>
      </c>
      <c r="Q33" s="226" t="s">
        <v>227</v>
      </c>
      <c r="R33" s="63" t="s">
        <v>158</v>
      </c>
      <c r="S33" s="227" t="s">
        <v>226</v>
      </c>
      <c r="T33" s="29"/>
    </row>
    <row r="34" spans="2:20" ht="34.5" hidden="1" customHeight="1" thickBot="1">
      <c r="D34" s="118"/>
      <c r="E34" s="109"/>
      <c r="F34" s="118"/>
      <c r="G34" s="397">
        <f>SUM(G18:G33)</f>
        <v>1343048010</v>
      </c>
      <c r="H34" s="398"/>
      <c r="I34" s="402">
        <f>SUM(I18:I33)</f>
        <v>-644143450</v>
      </c>
      <c r="J34" s="402"/>
      <c r="K34" s="400">
        <f>SUM(K18:K32)</f>
        <v>0</v>
      </c>
      <c r="L34" s="400"/>
      <c r="M34" s="400">
        <f>SUM(M18:M33)</f>
        <v>1987191460</v>
      </c>
      <c r="N34" s="400"/>
      <c r="O34" s="119"/>
      <c r="P34" s="117"/>
      <c r="Q34" s="114" t="s">
        <v>5</v>
      </c>
      <c r="R34" s="8" t="s">
        <v>158</v>
      </c>
      <c r="S34" s="209"/>
      <c r="T34" s="29"/>
    </row>
    <row r="35" spans="2:20" ht="49.5" hidden="1" customHeight="1" thickBot="1">
      <c r="D35" s="13"/>
      <c r="F35" s="13"/>
      <c r="G35" s="101"/>
      <c r="H35" s="44"/>
      <c r="I35" s="51"/>
      <c r="J35" s="51"/>
      <c r="K35" s="44"/>
      <c r="L35" s="44"/>
      <c r="M35" s="101"/>
      <c r="N35" s="44"/>
      <c r="O35" s="106"/>
      <c r="P35" s="44"/>
      <c r="Q35" s="19"/>
      <c r="R35" s="70"/>
      <c r="S35" s="210"/>
      <c r="T35" s="29"/>
    </row>
    <row r="36" spans="2:20" ht="23.25" hidden="1" customHeight="1">
      <c r="D36" s="173"/>
      <c r="F36" s="173"/>
      <c r="G36" s="382" t="s">
        <v>300</v>
      </c>
      <c r="H36" s="382"/>
      <c r="I36" s="382" t="s">
        <v>145</v>
      </c>
      <c r="J36" s="382"/>
      <c r="K36" s="78"/>
      <c r="L36" s="78"/>
      <c r="M36" s="199"/>
      <c r="N36" s="78"/>
      <c r="O36" s="79"/>
      <c r="P36" s="78"/>
      <c r="Q36" s="80" t="s">
        <v>171</v>
      </c>
      <c r="R36" s="41"/>
      <c r="S36" s="219"/>
    </row>
    <row r="37" spans="2:20" ht="23.25" hidden="1" customHeight="1">
      <c r="D37" s="174"/>
      <c r="F37" s="174"/>
      <c r="G37" s="96"/>
      <c r="H37" s="82"/>
      <c r="I37" s="83"/>
      <c r="J37" s="143" t="s">
        <v>146</v>
      </c>
      <c r="K37" s="144"/>
      <c r="L37" s="144"/>
      <c r="M37" s="200"/>
      <c r="N37" s="144"/>
      <c r="O37" s="135"/>
      <c r="P37" s="144"/>
      <c r="Q37" s="84" t="s">
        <v>292</v>
      </c>
      <c r="R37" s="56"/>
      <c r="S37" s="175"/>
    </row>
    <row r="38" spans="2:20" ht="25.5" hidden="1" customHeight="1" thickBot="1">
      <c r="D38" s="176"/>
      <c r="F38" s="176"/>
      <c r="G38" s="145"/>
      <c r="H38" s="136"/>
      <c r="I38" s="146"/>
      <c r="J38" s="146"/>
      <c r="K38" s="136"/>
      <c r="L38" s="136"/>
      <c r="M38" s="145" t="s">
        <v>183</v>
      </c>
      <c r="N38" s="136"/>
      <c r="O38" s="136"/>
      <c r="P38" s="136"/>
      <c r="Q38" s="86" t="s">
        <v>185</v>
      </c>
      <c r="R38" s="42"/>
      <c r="S38" s="220"/>
    </row>
    <row r="39" spans="2:20" ht="25.5" hidden="1" customHeight="1">
      <c r="C39" s="3" t="s">
        <v>288</v>
      </c>
      <c r="D39" s="249">
        <v>462.4</v>
      </c>
      <c r="F39" s="249"/>
      <c r="G39" s="250">
        <f>H39*O39</f>
        <v>44737000</v>
      </c>
      <c r="H39" s="251">
        <f>462+100*7</f>
        <v>1162</v>
      </c>
      <c r="I39" s="40">
        <f>J39*O39</f>
        <v>42427000</v>
      </c>
      <c r="J39" s="268">
        <f>H39-N39</f>
        <v>1102</v>
      </c>
      <c r="K39" s="251"/>
      <c r="L39" s="251"/>
      <c r="M39" s="252">
        <f>N39*O39</f>
        <v>2310000</v>
      </c>
      <c r="N39" s="253">
        <v>60</v>
      </c>
      <c r="O39" s="254">
        <v>38500</v>
      </c>
      <c r="P39" s="255" t="s">
        <v>187</v>
      </c>
      <c r="Q39" s="256" t="s">
        <v>229</v>
      </c>
      <c r="R39" s="257"/>
      <c r="S39" s="258" t="s">
        <v>228</v>
      </c>
    </row>
    <row r="40" spans="2:20" ht="30.75" hidden="1" customHeight="1">
      <c r="B40" s="259">
        <v>1099</v>
      </c>
      <c r="D40" s="228">
        <v>900</v>
      </c>
      <c r="E40" s="109"/>
      <c r="F40" s="228"/>
      <c r="G40" s="100">
        <f t="shared" ref="G40:G53" si="4">H40*O40</f>
        <v>184307800</v>
      </c>
      <c r="H40" s="1">
        <f>900+1099</f>
        <v>1999</v>
      </c>
      <c r="I40" s="40">
        <f t="shared" ref="I40:I53" si="5">J40*O40</f>
        <v>168910400</v>
      </c>
      <c r="J40" s="49">
        <f t="shared" ref="J40:J53" si="6">H40-N40</f>
        <v>1832</v>
      </c>
      <c r="K40" s="1"/>
      <c r="L40" s="1"/>
      <c r="M40" s="242">
        <f t="shared" ref="M40:M53" si="7">N40*O40</f>
        <v>15397400</v>
      </c>
      <c r="N40" s="231">
        <v>167</v>
      </c>
      <c r="O40" s="232">
        <v>92200</v>
      </c>
      <c r="P40" s="229" t="s">
        <v>187</v>
      </c>
      <c r="Q40" s="230" t="s">
        <v>186</v>
      </c>
      <c r="R40" s="63"/>
      <c r="S40" s="34" t="s">
        <v>230</v>
      </c>
    </row>
    <row r="41" spans="2:20" ht="30.75" hidden="1" customHeight="1">
      <c r="D41" s="111"/>
      <c r="E41" s="109"/>
      <c r="F41" s="111"/>
      <c r="G41" s="100">
        <f t="shared" si="4"/>
        <v>0</v>
      </c>
      <c r="H41" s="1"/>
      <c r="I41" s="40">
        <f t="shared" si="5"/>
        <v>0</v>
      </c>
      <c r="J41" s="49">
        <f t="shared" si="6"/>
        <v>0</v>
      </c>
      <c r="K41" s="4"/>
      <c r="L41" s="4"/>
      <c r="M41" s="242">
        <f t="shared" si="7"/>
        <v>0</v>
      </c>
      <c r="N41" s="231"/>
      <c r="O41" s="233">
        <v>104000</v>
      </c>
      <c r="P41" s="152" t="s">
        <v>187</v>
      </c>
      <c r="Q41" s="123" t="s">
        <v>188</v>
      </c>
      <c r="R41" s="63" t="s">
        <v>158</v>
      </c>
      <c r="S41" s="38" t="s">
        <v>83</v>
      </c>
    </row>
    <row r="42" spans="2:20" ht="30.75" hidden="1" customHeight="1">
      <c r="D42" s="111"/>
      <c r="E42" s="109"/>
      <c r="F42" s="111"/>
      <c r="G42" s="100">
        <f t="shared" si="4"/>
        <v>0</v>
      </c>
      <c r="H42" s="1"/>
      <c r="I42" s="40">
        <f t="shared" si="5"/>
        <v>0</v>
      </c>
      <c r="J42" s="49">
        <f t="shared" si="6"/>
        <v>0</v>
      </c>
      <c r="K42" s="4"/>
      <c r="L42" s="4"/>
      <c r="M42" s="242">
        <f t="shared" si="7"/>
        <v>0</v>
      </c>
      <c r="N42" s="231"/>
      <c r="O42" s="234">
        <v>259500</v>
      </c>
      <c r="P42" s="153" t="s">
        <v>187</v>
      </c>
      <c r="Q42" s="124" t="s">
        <v>189</v>
      </c>
      <c r="R42" s="63" t="s">
        <v>158</v>
      </c>
      <c r="S42" s="38" t="s">
        <v>180</v>
      </c>
    </row>
    <row r="43" spans="2:20" ht="30.75" hidden="1" customHeight="1">
      <c r="B43" s="259">
        <v>2000</v>
      </c>
      <c r="D43" s="111">
        <v>1897.39</v>
      </c>
      <c r="E43" s="109"/>
      <c r="F43" s="111"/>
      <c r="G43" s="100">
        <f t="shared" si="4"/>
        <v>1077511000</v>
      </c>
      <c r="H43" s="1">
        <f>1897+2200</f>
        <v>4097</v>
      </c>
      <c r="I43" s="40">
        <f t="shared" si="5"/>
        <v>827398000</v>
      </c>
      <c r="J43" s="49">
        <f t="shared" si="6"/>
        <v>3146</v>
      </c>
      <c r="K43" s="4"/>
      <c r="L43" s="4"/>
      <c r="M43" s="242">
        <f t="shared" si="7"/>
        <v>250113000</v>
      </c>
      <c r="N43" s="231">
        <v>951</v>
      </c>
      <c r="O43" s="235">
        <v>263000</v>
      </c>
      <c r="P43" s="154" t="s">
        <v>187</v>
      </c>
      <c r="Q43" s="125" t="s">
        <v>190</v>
      </c>
      <c r="R43" s="63" t="s">
        <v>158</v>
      </c>
      <c r="S43" s="38" t="s">
        <v>172</v>
      </c>
    </row>
    <row r="44" spans="2:20" ht="30.75" hidden="1" customHeight="1">
      <c r="B44" s="259">
        <v>2000</v>
      </c>
      <c r="D44" s="111">
        <v>1860.03</v>
      </c>
      <c r="E44" s="109"/>
      <c r="F44" s="111"/>
      <c r="G44" s="100">
        <f t="shared" si="4"/>
        <v>220458000</v>
      </c>
      <c r="H44" s="1">
        <f>1860+2200</f>
        <v>4060</v>
      </c>
      <c r="I44" s="40">
        <f t="shared" si="5"/>
        <v>168818700</v>
      </c>
      <c r="J44" s="49">
        <f t="shared" si="6"/>
        <v>3109</v>
      </c>
      <c r="K44" s="4"/>
      <c r="L44" s="4"/>
      <c r="M44" s="242">
        <f t="shared" si="7"/>
        <v>51639300</v>
      </c>
      <c r="N44" s="231">
        <v>951</v>
      </c>
      <c r="O44" s="236">
        <v>54300</v>
      </c>
      <c r="P44" s="155" t="s">
        <v>187</v>
      </c>
      <c r="Q44" s="126" t="s">
        <v>191</v>
      </c>
      <c r="R44" s="63" t="s">
        <v>158</v>
      </c>
      <c r="S44" s="38" t="s">
        <v>173</v>
      </c>
    </row>
    <row r="45" spans="2:20" ht="30.75" hidden="1" customHeight="1">
      <c r="B45" s="259">
        <v>1400</v>
      </c>
      <c r="D45" s="111">
        <v>1964.98</v>
      </c>
      <c r="E45" s="109"/>
      <c r="F45" s="111"/>
      <c r="G45" s="100">
        <f t="shared" si="4"/>
        <v>225388000</v>
      </c>
      <c r="H45" s="1">
        <f>1964+1400</f>
        <v>3364</v>
      </c>
      <c r="I45" s="40">
        <f t="shared" si="5"/>
        <v>134469000</v>
      </c>
      <c r="J45" s="49">
        <f t="shared" si="6"/>
        <v>2007</v>
      </c>
      <c r="K45" s="4"/>
      <c r="L45" s="4"/>
      <c r="M45" s="242">
        <f t="shared" si="7"/>
        <v>90919000</v>
      </c>
      <c r="N45" s="231">
        <v>1357</v>
      </c>
      <c r="O45" s="237">
        <v>67000</v>
      </c>
      <c r="P45" s="156" t="s">
        <v>82</v>
      </c>
      <c r="Q45" s="127" t="s">
        <v>215</v>
      </c>
      <c r="R45" s="63" t="s">
        <v>158</v>
      </c>
      <c r="S45" s="38" t="s">
        <v>214</v>
      </c>
    </row>
    <row r="46" spans="2:20" ht="30.75" hidden="1" customHeight="1">
      <c r="D46" s="111"/>
      <c r="E46" s="109"/>
      <c r="F46" s="111"/>
      <c r="G46" s="100">
        <f t="shared" si="4"/>
        <v>0</v>
      </c>
      <c r="H46" s="1"/>
      <c r="I46" s="40">
        <f t="shared" si="5"/>
        <v>0</v>
      </c>
      <c r="J46" s="49">
        <f t="shared" si="6"/>
        <v>0</v>
      </c>
      <c r="K46" s="4"/>
      <c r="L46" s="4"/>
      <c r="M46" s="242">
        <f t="shared" si="7"/>
        <v>0</v>
      </c>
      <c r="N46" s="231"/>
      <c r="O46" s="238">
        <v>24300</v>
      </c>
      <c r="P46" s="157" t="s">
        <v>187</v>
      </c>
      <c r="Q46" s="128" t="s">
        <v>192</v>
      </c>
      <c r="R46" s="63" t="s">
        <v>158</v>
      </c>
      <c r="S46" s="38" t="s">
        <v>174</v>
      </c>
    </row>
    <row r="47" spans="2:20" ht="30.75" hidden="1" customHeight="1">
      <c r="D47" s="111"/>
      <c r="E47" s="109"/>
      <c r="F47" s="111"/>
      <c r="G47" s="100">
        <f t="shared" si="4"/>
        <v>0</v>
      </c>
      <c r="H47" s="1"/>
      <c r="I47" s="40">
        <f t="shared" si="5"/>
        <v>0</v>
      </c>
      <c r="J47" s="49">
        <f t="shared" si="6"/>
        <v>0</v>
      </c>
      <c r="K47" s="4"/>
      <c r="L47" s="4"/>
      <c r="M47" s="242">
        <f t="shared" si="7"/>
        <v>0</v>
      </c>
      <c r="N47" s="231"/>
      <c r="O47" s="238">
        <v>664000</v>
      </c>
      <c r="P47" s="157" t="s">
        <v>187</v>
      </c>
      <c r="Q47" s="128" t="s">
        <v>261</v>
      </c>
      <c r="R47" s="63" t="s">
        <v>158</v>
      </c>
      <c r="S47" s="38" t="s">
        <v>260</v>
      </c>
    </row>
    <row r="48" spans="2:20" ht="30.75" hidden="1" customHeight="1">
      <c r="B48" s="259">
        <v>70</v>
      </c>
      <c r="D48" s="111"/>
      <c r="E48" s="109"/>
      <c r="F48" s="111"/>
      <c r="G48" s="100">
        <f t="shared" si="4"/>
        <v>2394000</v>
      </c>
      <c r="H48" s="1">
        <v>70</v>
      </c>
      <c r="I48" s="40">
        <f t="shared" si="5"/>
        <v>2394000</v>
      </c>
      <c r="J48" s="49">
        <f t="shared" si="6"/>
        <v>70</v>
      </c>
      <c r="K48" s="4"/>
      <c r="L48" s="4"/>
      <c r="M48" s="242">
        <f t="shared" si="7"/>
        <v>0</v>
      </c>
      <c r="N48" s="231"/>
      <c r="O48" s="238">
        <v>34200</v>
      </c>
      <c r="P48" s="157" t="s">
        <v>187</v>
      </c>
      <c r="Q48" s="262" t="s">
        <v>259</v>
      </c>
      <c r="R48" s="63" t="s">
        <v>158</v>
      </c>
      <c r="S48" s="38" t="s">
        <v>258</v>
      </c>
    </row>
    <row r="49" spans="2:20" ht="30.75" hidden="1" customHeight="1">
      <c r="D49" s="111">
        <v>328.27</v>
      </c>
      <c r="E49" s="109"/>
      <c r="F49" s="111"/>
      <c r="G49" s="100">
        <f t="shared" si="4"/>
        <v>9118400</v>
      </c>
      <c r="H49" s="1">
        <f>328</f>
        <v>328</v>
      </c>
      <c r="I49" s="40">
        <f t="shared" si="5"/>
        <v>3558400</v>
      </c>
      <c r="J49" s="49">
        <f t="shared" si="6"/>
        <v>128</v>
      </c>
      <c r="K49" s="4"/>
      <c r="L49" s="4"/>
      <c r="M49" s="242">
        <f t="shared" si="7"/>
        <v>5560000</v>
      </c>
      <c r="N49" s="231">
        <v>200</v>
      </c>
      <c r="O49" s="239">
        <v>27800</v>
      </c>
      <c r="P49" s="157" t="s">
        <v>187</v>
      </c>
      <c r="Q49" s="129" t="s">
        <v>194</v>
      </c>
      <c r="R49" s="63" t="s">
        <v>158</v>
      </c>
      <c r="S49" s="38" t="s">
        <v>175</v>
      </c>
    </row>
    <row r="50" spans="2:20" ht="30.75" hidden="1" customHeight="1">
      <c r="D50" s="111">
        <v>964.17</v>
      </c>
      <c r="E50" s="109"/>
      <c r="F50" s="111"/>
      <c r="G50" s="100">
        <f t="shared" si="4"/>
        <v>29787600</v>
      </c>
      <c r="H50" s="1">
        <v>964</v>
      </c>
      <c r="I50" s="40">
        <f t="shared" si="5"/>
        <v>2163000</v>
      </c>
      <c r="J50" s="49">
        <f t="shared" si="6"/>
        <v>70</v>
      </c>
      <c r="K50" s="4"/>
      <c r="L50" s="4"/>
      <c r="M50" s="242">
        <f t="shared" si="7"/>
        <v>27624600</v>
      </c>
      <c r="N50" s="231">
        <v>894</v>
      </c>
      <c r="O50" s="240">
        <v>30900</v>
      </c>
      <c r="P50" s="158" t="s">
        <v>82</v>
      </c>
      <c r="Q50" s="130" t="s">
        <v>193</v>
      </c>
      <c r="R50" s="63" t="s">
        <v>158</v>
      </c>
      <c r="S50" s="38" t="s">
        <v>176</v>
      </c>
    </row>
    <row r="51" spans="2:20" ht="30.75" hidden="1" customHeight="1">
      <c r="B51" s="259" t="s">
        <v>293</v>
      </c>
      <c r="C51" s="3" t="s">
        <v>289</v>
      </c>
      <c r="D51" s="110">
        <v>27261</v>
      </c>
      <c r="E51" s="109"/>
      <c r="F51" s="110"/>
      <c r="G51" s="100">
        <f t="shared" si="4"/>
        <v>55821780</v>
      </c>
      <c r="H51" s="1">
        <f>27261+700*9+2000*9*1.3</f>
        <v>56961</v>
      </c>
      <c r="I51" s="40">
        <f t="shared" si="5"/>
        <v>44388120</v>
      </c>
      <c r="J51" s="49">
        <f t="shared" si="6"/>
        <v>45294</v>
      </c>
      <c r="K51" s="4"/>
      <c r="L51" s="4"/>
      <c r="M51" s="242">
        <f t="shared" si="7"/>
        <v>11433660</v>
      </c>
      <c r="N51" s="231">
        <v>11667</v>
      </c>
      <c r="O51" s="241">
        <v>980</v>
      </c>
      <c r="P51" s="6" t="s">
        <v>44</v>
      </c>
      <c r="Q51" s="45" t="s">
        <v>84</v>
      </c>
      <c r="R51" s="63" t="s">
        <v>158</v>
      </c>
      <c r="S51" s="38" t="s">
        <v>85</v>
      </c>
    </row>
    <row r="52" spans="2:20" ht="30.75" hidden="1" customHeight="1">
      <c r="B52" s="259" t="s">
        <v>294</v>
      </c>
      <c r="C52" s="3" t="s">
        <v>290</v>
      </c>
      <c r="D52" s="110">
        <v>76580.14</v>
      </c>
      <c r="E52" s="109"/>
      <c r="F52" s="110"/>
      <c r="G52" s="100">
        <f t="shared" si="4"/>
        <v>127609100</v>
      </c>
      <c r="H52" s="1">
        <f>76580+700*20+2000*20*1.3</f>
        <v>142580</v>
      </c>
      <c r="I52" s="40">
        <f t="shared" si="5"/>
        <v>104405330</v>
      </c>
      <c r="J52" s="49">
        <f t="shared" si="6"/>
        <v>116654</v>
      </c>
      <c r="K52" s="4"/>
      <c r="L52" s="4"/>
      <c r="M52" s="242">
        <f t="shared" si="7"/>
        <v>23203770</v>
      </c>
      <c r="N52" s="231">
        <v>25926</v>
      </c>
      <c r="O52" s="241">
        <v>895</v>
      </c>
      <c r="P52" s="6" t="s">
        <v>44</v>
      </c>
      <c r="Q52" s="45" t="s">
        <v>181</v>
      </c>
      <c r="R52" s="63" t="s">
        <v>158</v>
      </c>
      <c r="S52" s="38" t="s">
        <v>128</v>
      </c>
    </row>
    <row r="53" spans="2:20" ht="30.75" hidden="1" customHeight="1">
      <c r="B53" s="259" t="s">
        <v>295</v>
      </c>
      <c r="D53" s="122">
        <v>53865.71</v>
      </c>
      <c r="E53" s="109"/>
      <c r="F53" s="122"/>
      <c r="G53" s="100">
        <f t="shared" si="4"/>
        <v>68257475</v>
      </c>
      <c r="H53" s="58">
        <f>53865+2000*16*1.3</f>
        <v>95465</v>
      </c>
      <c r="I53" s="40">
        <f t="shared" si="5"/>
        <v>54114060</v>
      </c>
      <c r="J53" s="49">
        <f t="shared" si="6"/>
        <v>75684</v>
      </c>
      <c r="K53" s="59"/>
      <c r="L53" s="59"/>
      <c r="M53" s="242">
        <f t="shared" si="7"/>
        <v>14143415</v>
      </c>
      <c r="N53" s="231">
        <v>19781</v>
      </c>
      <c r="O53" s="241">
        <v>715</v>
      </c>
      <c r="P53" s="6" t="s">
        <v>44</v>
      </c>
      <c r="Q53" s="45" t="s">
        <v>157</v>
      </c>
      <c r="R53" s="63" t="s">
        <v>158</v>
      </c>
      <c r="S53" s="61" t="s">
        <v>156</v>
      </c>
    </row>
    <row r="54" spans="2:20" ht="36.75" hidden="1" customHeight="1" thickBot="1">
      <c r="D54" s="131"/>
      <c r="F54" s="131"/>
      <c r="G54" s="397">
        <f>SUM(G39:G53)</f>
        <v>2045390155</v>
      </c>
      <c r="H54" s="398"/>
      <c r="I54" s="399">
        <f>SUM(I39:I53)</f>
        <v>1553046010</v>
      </c>
      <c r="J54" s="399"/>
      <c r="K54" s="411">
        <f>SUM(K41:K52)</f>
        <v>0</v>
      </c>
      <c r="L54" s="411"/>
      <c r="M54" s="411">
        <f>SUM(M39:M53)</f>
        <v>492344145</v>
      </c>
      <c r="N54" s="411"/>
      <c r="O54" s="133"/>
      <c r="P54" s="132"/>
      <c r="Q54" s="134" t="s">
        <v>86</v>
      </c>
      <c r="R54" s="8" t="s">
        <v>158</v>
      </c>
      <c r="S54" s="209"/>
      <c r="T54" s="29"/>
    </row>
    <row r="55" spans="2:20" ht="49.5" hidden="1" customHeight="1" thickBot="1">
      <c r="D55" s="89"/>
      <c r="F55" s="89"/>
      <c r="G55" s="102"/>
      <c r="H55" s="92"/>
      <c r="I55" s="93"/>
      <c r="J55" s="93"/>
      <c r="K55" s="92"/>
      <c r="L55" s="92"/>
      <c r="M55" s="102"/>
      <c r="N55" s="92"/>
      <c r="O55" s="107"/>
      <c r="P55" s="92"/>
      <c r="Q55" s="94"/>
      <c r="R55" s="69"/>
      <c r="S55" s="211"/>
      <c r="T55" s="29"/>
    </row>
    <row r="56" spans="2:20" ht="23.25" hidden="1" customHeight="1">
      <c r="D56" s="77"/>
      <c r="F56" s="173"/>
      <c r="G56" s="382" t="s">
        <v>300</v>
      </c>
      <c r="H56" s="382"/>
      <c r="I56" s="382" t="s">
        <v>145</v>
      </c>
      <c r="J56" s="382"/>
      <c r="K56" s="78"/>
      <c r="L56" s="78"/>
      <c r="M56" s="199"/>
      <c r="N56" s="78"/>
      <c r="O56" s="79"/>
      <c r="P56" s="78"/>
      <c r="Q56" s="80" t="s">
        <v>171</v>
      </c>
      <c r="R56" s="41"/>
      <c r="S56" s="219"/>
    </row>
    <row r="57" spans="2:20" ht="23.25" hidden="1" customHeight="1">
      <c r="D57" s="81"/>
      <c r="F57" s="174"/>
      <c r="G57" s="96"/>
      <c r="H57" s="82"/>
      <c r="I57" s="83"/>
      <c r="J57" s="143" t="s">
        <v>146</v>
      </c>
      <c r="K57" s="144"/>
      <c r="L57" s="144"/>
      <c r="M57" s="200"/>
      <c r="N57" s="144"/>
      <c r="O57" s="135"/>
      <c r="P57" s="144"/>
      <c r="Q57" s="84" t="s">
        <v>292</v>
      </c>
      <c r="R57" s="56"/>
      <c r="S57" s="175"/>
    </row>
    <row r="58" spans="2:20" ht="23.25" hidden="1" customHeight="1" thickBot="1">
      <c r="D58" s="85"/>
      <c r="F58" s="85"/>
      <c r="G58" s="145"/>
      <c r="H58" s="136"/>
      <c r="I58" s="146"/>
      <c r="J58" s="146"/>
      <c r="K58" s="136"/>
      <c r="L58" s="136"/>
      <c r="M58" s="145" t="s">
        <v>183</v>
      </c>
      <c r="N58" s="136"/>
      <c r="O58" s="136"/>
      <c r="P58" s="136"/>
      <c r="Q58" s="86" t="s">
        <v>195</v>
      </c>
      <c r="R58" s="42"/>
      <c r="S58" s="205"/>
    </row>
    <row r="59" spans="2:20" ht="25.5" hidden="1" customHeight="1">
      <c r="D59" s="385" t="s">
        <v>144</v>
      </c>
      <c r="F59" s="385" t="s">
        <v>144</v>
      </c>
      <c r="G59" s="406" t="s">
        <v>63</v>
      </c>
      <c r="H59" s="406"/>
      <c r="I59" s="409" t="s">
        <v>170</v>
      </c>
      <c r="J59" s="409"/>
      <c r="K59" s="401" t="s">
        <v>2</v>
      </c>
      <c r="L59" s="401"/>
      <c r="M59" s="401" t="s">
        <v>169</v>
      </c>
      <c r="N59" s="401"/>
      <c r="O59" s="426" t="s">
        <v>139</v>
      </c>
      <c r="P59" s="401" t="s">
        <v>1</v>
      </c>
      <c r="Q59" s="401" t="s">
        <v>138</v>
      </c>
      <c r="R59" s="62"/>
      <c r="S59" s="424" t="s">
        <v>0</v>
      </c>
    </row>
    <row r="60" spans="2:20" ht="25.5" hidden="1" customHeight="1">
      <c r="D60" s="386"/>
      <c r="F60" s="386"/>
      <c r="G60" s="97" t="s">
        <v>143</v>
      </c>
      <c r="H60" s="49" t="s">
        <v>142</v>
      </c>
      <c r="I60" s="49" t="s">
        <v>143</v>
      </c>
      <c r="J60" s="49" t="s">
        <v>142</v>
      </c>
      <c r="K60" s="1" t="s">
        <v>4</v>
      </c>
      <c r="L60" s="1" t="s">
        <v>3</v>
      </c>
      <c r="M60" s="100" t="s">
        <v>141</v>
      </c>
      <c r="N60" s="1" t="s">
        <v>140</v>
      </c>
      <c r="O60" s="427"/>
      <c r="P60" s="422"/>
      <c r="Q60" s="422"/>
      <c r="R60" s="2"/>
      <c r="S60" s="425"/>
    </row>
    <row r="61" spans="2:20" ht="34.5" hidden="1" customHeight="1">
      <c r="D61" s="35"/>
      <c r="F61" s="35"/>
      <c r="G61" s="100">
        <f>H61*O61</f>
        <v>0</v>
      </c>
      <c r="H61" s="1"/>
      <c r="I61" s="40">
        <f>J61*O61</f>
        <v>0</v>
      </c>
      <c r="J61" s="49">
        <f>H61-N61</f>
        <v>0</v>
      </c>
      <c r="K61" s="6"/>
      <c r="L61" s="4"/>
      <c r="M61" s="191"/>
      <c r="N61" s="4"/>
      <c r="O61" s="147">
        <v>25900</v>
      </c>
      <c r="P61" s="159" t="s">
        <v>82</v>
      </c>
      <c r="Q61" s="137" t="s">
        <v>196</v>
      </c>
      <c r="R61" s="63" t="s">
        <v>158</v>
      </c>
      <c r="S61" s="38" t="s">
        <v>177</v>
      </c>
      <c r="T61" s="29"/>
    </row>
    <row r="62" spans="2:20" ht="34.5" hidden="1" customHeight="1">
      <c r="D62" s="35"/>
      <c r="F62" s="35"/>
      <c r="G62" s="100">
        <f>H62*O62</f>
        <v>0</v>
      </c>
      <c r="H62" s="1"/>
      <c r="I62" s="40">
        <f>J62*O62</f>
        <v>0</v>
      </c>
      <c r="J62" s="49">
        <f>H62-N62</f>
        <v>0</v>
      </c>
      <c r="K62" s="6"/>
      <c r="L62" s="4"/>
      <c r="M62" s="191"/>
      <c r="N62" s="4"/>
      <c r="O62" s="148">
        <v>39700</v>
      </c>
      <c r="P62" s="160" t="s">
        <v>82</v>
      </c>
      <c r="Q62" s="138" t="s">
        <v>197</v>
      </c>
      <c r="R62" s="63" t="s">
        <v>158</v>
      </c>
      <c r="S62" s="38" t="s">
        <v>178</v>
      </c>
      <c r="T62" s="29"/>
    </row>
    <row r="63" spans="2:20" ht="34.5" hidden="1" customHeight="1">
      <c r="B63" s="259">
        <v>1613</v>
      </c>
      <c r="D63" s="35">
        <v>1964.98</v>
      </c>
      <c r="F63" s="35"/>
      <c r="G63" s="100">
        <f>H63*O63</f>
        <v>29689100</v>
      </c>
      <c r="H63" s="1">
        <f>1964+1613</f>
        <v>3577</v>
      </c>
      <c r="I63" s="40">
        <f>J63*O63</f>
        <v>18426000</v>
      </c>
      <c r="J63" s="49">
        <f>H63-N63</f>
        <v>2220</v>
      </c>
      <c r="K63" s="6"/>
      <c r="L63" s="4"/>
      <c r="M63" s="191">
        <f>N63*O63</f>
        <v>11263100</v>
      </c>
      <c r="N63" s="4">
        <v>1357</v>
      </c>
      <c r="O63" s="149">
        <v>8300</v>
      </c>
      <c r="P63" s="161" t="s">
        <v>82</v>
      </c>
      <c r="Q63" s="222" t="s">
        <v>217</v>
      </c>
      <c r="R63" s="63" t="s">
        <v>158</v>
      </c>
      <c r="S63" s="38" t="s">
        <v>216</v>
      </c>
      <c r="T63" s="29"/>
    </row>
    <row r="64" spans="2:20" ht="34.5" hidden="1" customHeight="1">
      <c r="D64" s="35">
        <v>333.12</v>
      </c>
      <c r="F64" s="35"/>
      <c r="G64" s="100">
        <f>H64*O64</f>
        <v>1698300</v>
      </c>
      <c r="H64" s="1">
        <v>333</v>
      </c>
      <c r="I64" s="40">
        <f>J64*O64</f>
        <v>234600</v>
      </c>
      <c r="J64" s="49">
        <f>H64-N64</f>
        <v>46</v>
      </c>
      <c r="K64" s="6"/>
      <c r="L64" s="4"/>
      <c r="M64" s="191">
        <f>N64*O64</f>
        <v>1463700</v>
      </c>
      <c r="N64" s="4">
        <v>287</v>
      </c>
      <c r="O64" s="150">
        <v>5100</v>
      </c>
      <c r="P64" s="162" t="s">
        <v>82</v>
      </c>
      <c r="Q64" s="139" t="s">
        <v>198</v>
      </c>
      <c r="R64" s="63" t="s">
        <v>158</v>
      </c>
      <c r="S64" s="38" t="s">
        <v>179</v>
      </c>
      <c r="T64" s="29"/>
    </row>
    <row r="65" spans="2:20" ht="33.75" hidden="1" customHeight="1" thickBot="1">
      <c r="D65" s="21"/>
      <c r="F65" s="21"/>
      <c r="G65" s="395">
        <f>SUM(G61:G64)</f>
        <v>31387400</v>
      </c>
      <c r="H65" s="396"/>
      <c r="I65" s="416">
        <f>SUM(I61:I64)</f>
        <v>18660600</v>
      </c>
      <c r="J65" s="417"/>
      <c r="K65" s="8">
        <f>L65*O65</f>
        <v>0</v>
      </c>
      <c r="L65" s="15"/>
      <c r="M65" s="418">
        <f>SUM(M63:M64)</f>
        <v>12726800</v>
      </c>
      <c r="N65" s="419"/>
      <c r="O65" s="23"/>
      <c r="P65" s="8"/>
      <c r="Q65" s="134" t="s">
        <v>199</v>
      </c>
      <c r="R65" s="120" t="s">
        <v>158</v>
      </c>
      <c r="S65" s="121"/>
      <c r="T65" s="29"/>
    </row>
    <row r="66" spans="2:20" ht="25.5" hidden="1" customHeight="1" thickBot="1">
      <c r="D66" s="85"/>
      <c r="F66" s="85"/>
      <c r="G66" s="145"/>
      <c r="H66" s="136"/>
      <c r="I66" s="146"/>
      <c r="J66" s="146"/>
      <c r="K66" s="136"/>
      <c r="L66" s="136"/>
      <c r="M66" s="145" t="s">
        <v>183</v>
      </c>
      <c r="N66" s="136"/>
      <c r="O66" s="136"/>
      <c r="P66" s="136"/>
      <c r="Q66" s="86" t="s">
        <v>200</v>
      </c>
      <c r="R66" s="42"/>
      <c r="S66" s="205"/>
    </row>
    <row r="67" spans="2:20" ht="30" hidden="1" customHeight="1">
      <c r="B67" s="259" t="s">
        <v>262</v>
      </c>
      <c r="C67" s="3">
        <v>300</v>
      </c>
      <c r="D67" s="91">
        <v>184.4</v>
      </c>
      <c r="F67" s="91"/>
      <c r="G67" s="141">
        <f>H67*O67</f>
        <v>50483200</v>
      </c>
      <c r="H67" s="49">
        <f>184+300+540</f>
        <v>1024</v>
      </c>
      <c r="I67" s="40">
        <f>J67*O67</f>
        <v>39144200</v>
      </c>
      <c r="J67" s="49">
        <f>H67-N67</f>
        <v>794</v>
      </c>
      <c r="K67" s="1"/>
      <c r="L67" s="1"/>
      <c r="M67" s="243">
        <f>N67*O67</f>
        <v>11339000</v>
      </c>
      <c r="N67" s="244">
        <v>230</v>
      </c>
      <c r="O67" s="151">
        <v>49300</v>
      </c>
      <c r="P67" s="163" t="s">
        <v>82</v>
      </c>
      <c r="Q67" s="140" t="s">
        <v>201</v>
      </c>
      <c r="R67" s="63" t="s">
        <v>158</v>
      </c>
      <c r="S67" s="212">
        <v>80101</v>
      </c>
    </row>
    <row r="68" spans="2:20" ht="33" hidden="1" customHeight="1">
      <c r="C68" s="3">
        <v>30</v>
      </c>
      <c r="D68" s="20"/>
      <c r="F68" s="20"/>
      <c r="G68" s="141">
        <f t="shared" ref="G68:G77" si="8">H68*O68</f>
        <v>2082000</v>
      </c>
      <c r="H68" s="1">
        <v>30</v>
      </c>
      <c r="I68" s="40">
        <f t="shared" ref="I68:I77" si="9">J68*O68</f>
        <v>2082000</v>
      </c>
      <c r="J68" s="49">
        <f t="shared" ref="J68:J77" si="10">H68-N68</f>
        <v>30</v>
      </c>
      <c r="K68" s="6"/>
      <c r="L68" s="4"/>
      <c r="M68" s="243">
        <f t="shared" ref="M68:M77" si="11">N68*O68</f>
        <v>0</v>
      </c>
      <c r="N68" s="245"/>
      <c r="O68" s="246">
        <v>69400</v>
      </c>
      <c r="P68" s="6" t="s">
        <v>36</v>
      </c>
      <c r="Q68" s="45" t="s">
        <v>203</v>
      </c>
      <c r="R68" s="63" t="s">
        <v>158</v>
      </c>
      <c r="S68" s="38" t="s">
        <v>114</v>
      </c>
    </row>
    <row r="69" spans="2:20" ht="33" hidden="1" customHeight="1">
      <c r="C69" s="3">
        <v>100</v>
      </c>
      <c r="D69" s="20"/>
      <c r="F69" s="20"/>
      <c r="G69" s="141">
        <f t="shared" si="8"/>
        <v>9650000</v>
      </c>
      <c r="H69" s="1">
        <v>100</v>
      </c>
      <c r="I69" s="40">
        <f t="shared" si="9"/>
        <v>-59830000</v>
      </c>
      <c r="J69" s="49">
        <f t="shared" si="10"/>
        <v>-620</v>
      </c>
      <c r="K69" s="6"/>
      <c r="L69" s="4"/>
      <c r="M69" s="243">
        <f t="shared" si="11"/>
        <v>69480000</v>
      </c>
      <c r="N69" s="245">
        <v>720</v>
      </c>
      <c r="O69" s="246">
        <v>96500</v>
      </c>
      <c r="P69" s="6" t="s">
        <v>36</v>
      </c>
      <c r="Q69" s="45" t="s">
        <v>104</v>
      </c>
      <c r="R69" s="63" t="s">
        <v>158</v>
      </c>
      <c r="S69" s="38" t="s">
        <v>103</v>
      </c>
    </row>
    <row r="70" spans="2:20" ht="33" hidden="1" customHeight="1">
      <c r="C70" s="266">
        <v>600</v>
      </c>
      <c r="D70" s="20"/>
      <c r="F70" s="20"/>
      <c r="G70" s="141">
        <f t="shared" si="8"/>
        <v>53750000</v>
      </c>
      <c r="H70" s="1">
        <v>500</v>
      </c>
      <c r="I70" s="40">
        <f t="shared" si="9"/>
        <v>53750000</v>
      </c>
      <c r="J70" s="49">
        <f t="shared" si="10"/>
        <v>500</v>
      </c>
      <c r="K70" s="6"/>
      <c r="L70" s="4"/>
      <c r="M70" s="243">
        <f t="shared" si="11"/>
        <v>0</v>
      </c>
      <c r="N70" s="245"/>
      <c r="O70" s="246">
        <v>107500</v>
      </c>
      <c r="P70" s="6" t="s">
        <v>36</v>
      </c>
      <c r="Q70" s="45" t="s">
        <v>130</v>
      </c>
      <c r="R70" s="63" t="s">
        <v>158</v>
      </c>
      <c r="S70" s="38" t="s">
        <v>129</v>
      </c>
    </row>
    <row r="71" spans="2:20" ht="33" hidden="1" customHeight="1">
      <c r="C71" s="266">
        <v>470</v>
      </c>
      <c r="D71" s="20"/>
      <c r="F71" s="20"/>
      <c r="G71" s="141">
        <f t="shared" si="8"/>
        <v>42000000</v>
      </c>
      <c r="H71" s="1">
        <v>350</v>
      </c>
      <c r="I71" s="40">
        <f t="shared" si="9"/>
        <v>42000000</v>
      </c>
      <c r="J71" s="49">
        <f t="shared" si="10"/>
        <v>350</v>
      </c>
      <c r="K71" s="6"/>
      <c r="L71" s="4"/>
      <c r="M71" s="243">
        <f t="shared" si="11"/>
        <v>0</v>
      </c>
      <c r="N71" s="245"/>
      <c r="O71" s="246">
        <v>120000</v>
      </c>
      <c r="P71" s="6" t="s">
        <v>36</v>
      </c>
      <c r="Q71" s="45" t="s">
        <v>116</v>
      </c>
      <c r="R71" s="63" t="s">
        <v>158</v>
      </c>
      <c r="S71" s="38" t="s">
        <v>115</v>
      </c>
    </row>
    <row r="72" spans="2:20" ht="33" hidden="1" customHeight="1">
      <c r="D72" s="20">
        <v>1521.75</v>
      </c>
      <c r="F72" s="20"/>
      <c r="G72" s="141">
        <f t="shared" si="8"/>
        <v>238036500</v>
      </c>
      <c r="H72" s="1">
        <v>1521</v>
      </c>
      <c r="I72" s="40">
        <f t="shared" si="9"/>
        <v>-5164500</v>
      </c>
      <c r="J72" s="49">
        <f t="shared" si="10"/>
        <v>-33</v>
      </c>
      <c r="K72" s="6"/>
      <c r="L72" s="4"/>
      <c r="M72" s="243">
        <f t="shared" si="11"/>
        <v>243201000</v>
      </c>
      <c r="N72" s="245">
        <v>1554</v>
      </c>
      <c r="O72" s="246">
        <v>156500</v>
      </c>
      <c r="P72" s="6" t="s">
        <v>36</v>
      </c>
      <c r="Q72" s="45" t="s">
        <v>232</v>
      </c>
      <c r="R72" s="63" t="s">
        <v>158</v>
      </c>
      <c r="S72" s="38" t="s">
        <v>231</v>
      </c>
    </row>
    <row r="73" spans="2:20" ht="33" hidden="1" customHeight="1">
      <c r="D73" s="20"/>
      <c r="F73" s="20"/>
      <c r="G73" s="141">
        <f t="shared" si="8"/>
        <v>0</v>
      </c>
      <c r="H73" s="1"/>
      <c r="I73" s="40">
        <f t="shared" si="9"/>
        <v>0</v>
      </c>
      <c r="J73" s="49">
        <f t="shared" si="10"/>
        <v>0</v>
      </c>
      <c r="K73" s="6"/>
      <c r="L73" s="4"/>
      <c r="M73" s="243">
        <f t="shared" si="11"/>
        <v>0</v>
      </c>
      <c r="N73" s="245"/>
      <c r="O73" s="246">
        <v>37500</v>
      </c>
      <c r="P73" s="6" t="s">
        <v>36</v>
      </c>
      <c r="Q73" s="45" t="s">
        <v>147</v>
      </c>
      <c r="R73" s="63" t="s">
        <v>158</v>
      </c>
      <c r="S73" s="36" t="s">
        <v>132</v>
      </c>
    </row>
    <row r="74" spans="2:20" ht="33" hidden="1" customHeight="1">
      <c r="D74" s="20"/>
      <c r="F74" s="20"/>
      <c r="G74" s="141">
        <f t="shared" si="8"/>
        <v>0</v>
      </c>
      <c r="H74" s="1"/>
      <c r="I74" s="40">
        <f t="shared" si="9"/>
        <v>0</v>
      </c>
      <c r="J74" s="49">
        <f t="shared" si="10"/>
        <v>0</v>
      </c>
      <c r="K74" s="6"/>
      <c r="L74" s="4"/>
      <c r="M74" s="243">
        <f t="shared" si="11"/>
        <v>0</v>
      </c>
      <c r="N74" s="245"/>
      <c r="O74" s="246">
        <v>32400</v>
      </c>
      <c r="P74" s="6" t="s">
        <v>36</v>
      </c>
      <c r="Q74" s="45" t="s">
        <v>133</v>
      </c>
      <c r="R74" s="63" t="s">
        <v>158</v>
      </c>
      <c r="S74" s="36" t="s">
        <v>131</v>
      </c>
    </row>
    <row r="75" spans="2:20" ht="33" hidden="1" customHeight="1">
      <c r="D75" s="20"/>
      <c r="F75" s="20"/>
      <c r="G75" s="141">
        <f t="shared" si="8"/>
        <v>0</v>
      </c>
      <c r="H75" s="1"/>
      <c r="I75" s="40">
        <f t="shared" si="9"/>
        <v>0</v>
      </c>
      <c r="J75" s="49">
        <f t="shared" si="10"/>
        <v>0</v>
      </c>
      <c r="K75" s="6"/>
      <c r="L75" s="4"/>
      <c r="M75" s="243">
        <f t="shared" si="11"/>
        <v>0</v>
      </c>
      <c r="N75" s="245"/>
      <c r="O75" s="246">
        <v>13400</v>
      </c>
      <c r="P75" s="6" t="s">
        <v>36</v>
      </c>
      <c r="Q75" s="46" t="s">
        <v>90</v>
      </c>
      <c r="R75" s="63" t="s">
        <v>158</v>
      </c>
      <c r="S75" s="36" t="s">
        <v>88</v>
      </c>
    </row>
    <row r="76" spans="2:20" ht="33" hidden="1" customHeight="1">
      <c r="B76" s="259">
        <v>5520</v>
      </c>
      <c r="C76" s="3">
        <v>3500</v>
      </c>
      <c r="D76" s="20">
        <v>7547.5</v>
      </c>
      <c r="F76" s="20"/>
      <c r="G76" s="141">
        <f t="shared" si="8"/>
        <v>88799120</v>
      </c>
      <c r="H76" s="1">
        <f>7547+3500+5520</f>
        <v>16567</v>
      </c>
      <c r="I76" s="40">
        <f t="shared" si="9"/>
        <v>84484320</v>
      </c>
      <c r="J76" s="49">
        <f t="shared" si="10"/>
        <v>15762</v>
      </c>
      <c r="K76" s="6"/>
      <c r="L76" s="4"/>
      <c r="M76" s="243">
        <f t="shared" si="11"/>
        <v>4314800</v>
      </c>
      <c r="N76" s="245">
        <v>805</v>
      </c>
      <c r="O76" s="246">
        <v>5360</v>
      </c>
      <c r="P76" s="4" t="s">
        <v>47</v>
      </c>
      <c r="Q76" s="46" t="s">
        <v>46</v>
      </c>
      <c r="R76" s="63" t="s">
        <v>158</v>
      </c>
      <c r="S76" s="36" t="s">
        <v>45</v>
      </c>
    </row>
    <row r="77" spans="2:20" ht="33" hidden="1" customHeight="1">
      <c r="C77" s="3">
        <v>300</v>
      </c>
      <c r="D77" s="20"/>
      <c r="F77" s="20"/>
      <c r="G77" s="141">
        <f t="shared" si="8"/>
        <v>18960000</v>
      </c>
      <c r="H77" s="1">
        <v>300</v>
      </c>
      <c r="I77" s="40">
        <f t="shared" si="9"/>
        <v>18960000</v>
      </c>
      <c r="J77" s="49">
        <f t="shared" si="10"/>
        <v>300</v>
      </c>
      <c r="K77" s="6"/>
      <c r="L77" s="4"/>
      <c r="M77" s="243">
        <f t="shared" si="11"/>
        <v>0</v>
      </c>
      <c r="N77" s="245"/>
      <c r="O77" s="246">
        <v>63200</v>
      </c>
      <c r="P77" s="6" t="s">
        <v>36</v>
      </c>
      <c r="Q77" s="46" t="s">
        <v>87</v>
      </c>
      <c r="R77" s="63" t="s">
        <v>158</v>
      </c>
      <c r="S77" s="36" t="s">
        <v>89</v>
      </c>
    </row>
    <row r="78" spans="2:20" ht="33" hidden="1" customHeight="1" thickBot="1">
      <c r="D78" s="142"/>
      <c r="F78" s="142"/>
      <c r="G78" s="412">
        <f>SUM(G67:G77)</f>
        <v>503760820</v>
      </c>
      <c r="H78" s="413"/>
      <c r="I78" s="399">
        <f>SUM(I67:I77)</f>
        <v>175426020</v>
      </c>
      <c r="J78" s="399"/>
      <c r="K78" s="411">
        <f>SUM(K66:K77)</f>
        <v>0</v>
      </c>
      <c r="L78" s="411"/>
      <c r="M78" s="411">
        <f>SUM(M67:M77)</f>
        <v>328334800</v>
      </c>
      <c r="N78" s="411"/>
      <c r="O78" s="133"/>
      <c r="P78" s="132"/>
      <c r="Q78" s="132" t="s">
        <v>6</v>
      </c>
      <c r="R78" s="8"/>
      <c r="S78" s="209"/>
    </row>
    <row r="79" spans="2:20" ht="49.5" hidden="1" customHeight="1" thickBot="1">
      <c r="D79" s="13"/>
      <c r="F79" s="13"/>
      <c r="G79" s="99"/>
      <c r="H79" s="37"/>
      <c r="I79" s="50"/>
      <c r="J79" s="50"/>
      <c r="K79" s="37"/>
      <c r="L79" s="37"/>
      <c r="M79" s="99"/>
      <c r="N79" s="37"/>
      <c r="O79" s="24"/>
      <c r="P79" s="9"/>
      <c r="Q79" s="9"/>
      <c r="R79" s="70"/>
      <c r="S79" s="208"/>
    </row>
    <row r="80" spans="2:20" ht="25.5" hidden="1" customHeight="1">
      <c r="D80" s="77"/>
      <c r="F80" s="173"/>
      <c r="G80" s="382" t="s">
        <v>300</v>
      </c>
      <c r="H80" s="382"/>
      <c r="I80" s="382" t="s">
        <v>145</v>
      </c>
      <c r="J80" s="382"/>
      <c r="K80" s="78"/>
      <c r="L80" s="78"/>
      <c r="M80" s="199"/>
      <c r="N80" s="78"/>
      <c r="O80" s="79"/>
      <c r="P80" s="78"/>
      <c r="Q80" s="80" t="s">
        <v>171</v>
      </c>
      <c r="R80" s="41"/>
      <c r="S80" s="219"/>
    </row>
    <row r="81" spans="2:20" ht="25.5" hidden="1" customHeight="1">
      <c r="D81" s="81"/>
      <c r="F81" s="174"/>
      <c r="G81" s="96"/>
      <c r="H81" s="82"/>
      <c r="I81" s="83"/>
      <c r="J81" s="143" t="s">
        <v>146</v>
      </c>
      <c r="K81" s="144"/>
      <c r="L81" s="144"/>
      <c r="M81" s="200"/>
      <c r="N81" s="144"/>
      <c r="O81" s="135"/>
      <c r="P81" s="144"/>
      <c r="Q81" s="84" t="s">
        <v>292</v>
      </c>
      <c r="R81" s="56"/>
      <c r="S81" s="175"/>
    </row>
    <row r="82" spans="2:20" ht="25.5" hidden="1" customHeight="1" thickBot="1">
      <c r="D82" s="85"/>
      <c r="F82" s="85"/>
      <c r="G82" s="145"/>
      <c r="H82" s="136"/>
      <c r="I82" s="146"/>
      <c r="J82" s="146"/>
      <c r="K82" s="136"/>
      <c r="L82" s="136"/>
      <c r="M82" s="145" t="s">
        <v>183</v>
      </c>
      <c r="N82" s="136"/>
      <c r="O82" s="136"/>
      <c r="P82" s="136"/>
      <c r="Q82" s="86" t="s">
        <v>202</v>
      </c>
      <c r="R82" s="42"/>
      <c r="S82" s="205"/>
    </row>
    <row r="83" spans="2:20" ht="30" hidden="1" customHeight="1">
      <c r="D83" s="385" t="s">
        <v>144</v>
      </c>
      <c r="F83" s="385"/>
      <c r="G83" s="406" t="s">
        <v>63</v>
      </c>
      <c r="H83" s="406"/>
      <c r="I83" s="409" t="s">
        <v>170</v>
      </c>
      <c r="J83" s="409"/>
      <c r="K83" s="401" t="s">
        <v>2</v>
      </c>
      <c r="L83" s="401"/>
      <c r="M83" s="401" t="s">
        <v>169</v>
      </c>
      <c r="N83" s="401"/>
      <c r="O83" s="426" t="s">
        <v>139</v>
      </c>
      <c r="P83" s="401" t="s">
        <v>1</v>
      </c>
      <c r="Q83" s="401" t="s">
        <v>138</v>
      </c>
      <c r="R83" s="63"/>
      <c r="S83" s="424" t="s">
        <v>0</v>
      </c>
    </row>
    <row r="84" spans="2:20" ht="30" hidden="1" customHeight="1">
      <c r="D84" s="386"/>
      <c r="F84" s="386"/>
      <c r="G84" s="97" t="s">
        <v>143</v>
      </c>
      <c r="H84" s="49" t="s">
        <v>142</v>
      </c>
      <c r="I84" s="49" t="s">
        <v>143</v>
      </c>
      <c r="J84" s="49" t="s">
        <v>142</v>
      </c>
      <c r="K84" s="1" t="s">
        <v>4</v>
      </c>
      <c r="L84" s="1" t="s">
        <v>3</v>
      </c>
      <c r="M84" s="100" t="s">
        <v>141</v>
      </c>
      <c r="N84" s="1" t="s">
        <v>140</v>
      </c>
      <c r="O84" s="427"/>
      <c r="P84" s="422"/>
      <c r="Q84" s="422"/>
      <c r="R84" s="63"/>
      <c r="S84" s="425"/>
    </row>
    <row r="85" spans="2:20" ht="31.5" hidden="1" customHeight="1">
      <c r="D85" s="20">
        <v>7265</v>
      </c>
      <c r="F85" s="20"/>
      <c r="G85" s="100">
        <f>H85*O85</f>
        <v>58410600</v>
      </c>
      <c r="H85" s="1">
        <v>7265</v>
      </c>
      <c r="I85" s="40">
        <f>J85*O85</f>
        <v>3770760</v>
      </c>
      <c r="J85" s="49">
        <f>H85-N85</f>
        <v>469</v>
      </c>
      <c r="K85" s="4"/>
      <c r="L85" s="4"/>
      <c r="M85" s="191">
        <f>N85*O85</f>
        <v>54639840</v>
      </c>
      <c r="N85" s="4">
        <v>6796</v>
      </c>
      <c r="O85" s="22">
        <v>8040</v>
      </c>
      <c r="P85" s="4" t="s">
        <v>48</v>
      </c>
      <c r="Q85" s="6" t="s">
        <v>94</v>
      </c>
      <c r="R85" s="63" t="s">
        <v>158</v>
      </c>
      <c r="S85" s="36" t="s">
        <v>91</v>
      </c>
    </row>
    <row r="86" spans="2:20" ht="31.5" hidden="1" customHeight="1">
      <c r="D86" s="20">
        <v>53957.8</v>
      </c>
      <c r="F86" s="20"/>
      <c r="G86" s="100">
        <f>H86*O86</f>
        <v>349637805.00666648</v>
      </c>
      <c r="H86" s="267">
        <v>54974.497642557624</v>
      </c>
      <c r="I86" s="40">
        <f>J86*O86</f>
        <v>17779365.006666489</v>
      </c>
      <c r="J86" s="49">
        <f>H86-N86</f>
        <v>2795.4976425576242</v>
      </c>
      <c r="K86" s="4"/>
      <c r="L86" s="4"/>
      <c r="M86" s="191">
        <f>N86*O86</f>
        <v>331858440</v>
      </c>
      <c r="N86" s="4">
        <v>52179</v>
      </c>
      <c r="O86" s="22">
        <v>6360</v>
      </c>
      <c r="P86" s="4" t="s">
        <v>48</v>
      </c>
      <c r="Q86" s="6" t="s">
        <v>95</v>
      </c>
      <c r="R86" s="63" t="s">
        <v>158</v>
      </c>
      <c r="S86" s="36" t="s">
        <v>92</v>
      </c>
    </row>
    <row r="87" spans="2:20" ht="31.5" hidden="1" customHeight="1">
      <c r="B87" s="259" t="s">
        <v>263</v>
      </c>
      <c r="D87" s="20">
        <v>27030.59</v>
      </c>
      <c r="F87" s="20"/>
      <c r="G87" s="100">
        <f>H87*O87</f>
        <v>171782280</v>
      </c>
      <c r="H87" s="223">
        <v>28069</v>
      </c>
      <c r="I87" s="40">
        <f>J87*O87</f>
        <v>171782280</v>
      </c>
      <c r="J87" s="49">
        <f>H87-N87</f>
        <v>28069</v>
      </c>
      <c r="K87" s="4"/>
      <c r="L87" s="4"/>
      <c r="M87" s="191">
        <f>N87*O87</f>
        <v>0</v>
      </c>
      <c r="N87" s="4"/>
      <c r="O87" s="22">
        <v>6120</v>
      </c>
      <c r="P87" s="4" t="s">
        <v>48</v>
      </c>
      <c r="Q87" s="4" t="s">
        <v>96</v>
      </c>
      <c r="R87" s="63" t="s">
        <v>158</v>
      </c>
      <c r="S87" s="36" t="s">
        <v>93</v>
      </c>
    </row>
    <row r="88" spans="2:20" ht="31.5" hidden="1" customHeight="1">
      <c r="D88" s="20"/>
      <c r="F88" s="20"/>
      <c r="G88" s="100">
        <f>H88*O88</f>
        <v>0</v>
      </c>
      <c r="H88" s="1"/>
      <c r="I88" s="40">
        <f>J88*O88</f>
        <v>0</v>
      </c>
      <c r="J88" s="49">
        <f>H88-N88</f>
        <v>0</v>
      </c>
      <c r="K88" s="4"/>
      <c r="L88" s="4"/>
      <c r="M88" s="191">
        <f>N88*O88</f>
        <v>0</v>
      </c>
      <c r="N88" s="4"/>
      <c r="O88" s="22">
        <v>325</v>
      </c>
      <c r="P88" s="4" t="s">
        <v>48</v>
      </c>
      <c r="Q88" s="4" t="s">
        <v>118</v>
      </c>
      <c r="R88" s="63" t="s">
        <v>158</v>
      </c>
      <c r="S88" s="36" t="s">
        <v>117</v>
      </c>
    </row>
    <row r="89" spans="2:20" ht="31.5" hidden="1" customHeight="1">
      <c r="D89" s="20"/>
      <c r="F89" s="20"/>
      <c r="G89" s="100">
        <f>H89*O89</f>
        <v>0</v>
      </c>
      <c r="H89" s="1"/>
      <c r="I89" s="40">
        <f>J89*O89</f>
        <v>0</v>
      </c>
      <c r="J89" s="49">
        <f>H89-N89</f>
        <v>0</v>
      </c>
      <c r="K89" s="4"/>
      <c r="L89" s="4"/>
      <c r="M89" s="191">
        <f>N89*O89</f>
        <v>0</v>
      </c>
      <c r="N89" s="4"/>
      <c r="O89" s="22">
        <v>12600</v>
      </c>
      <c r="P89" s="4" t="s">
        <v>48</v>
      </c>
      <c r="Q89" s="45" t="s">
        <v>135</v>
      </c>
      <c r="R89" s="63" t="s">
        <v>158</v>
      </c>
      <c r="S89" s="36" t="s">
        <v>134</v>
      </c>
    </row>
    <row r="90" spans="2:20" ht="31.5" hidden="1" customHeight="1" thickBot="1">
      <c r="D90" s="57"/>
      <c r="F90" s="57"/>
      <c r="G90" s="414">
        <f>SUM(G85:G89)</f>
        <v>579830685.00666642</v>
      </c>
      <c r="H90" s="415"/>
      <c r="I90" s="430">
        <f>SUM(I85:I89)</f>
        <v>193332405.00666648</v>
      </c>
      <c r="J90" s="430"/>
      <c r="K90" s="423">
        <f>SUM(K85:K89)</f>
        <v>0</v>
      </c>
      <c r="L90" s="423"/>
      <c r="M90" s="423">
        <f>SUM(M85:M89)</f>
        <v>386498280</v>
      </c>
      <c r="N90" s="423"/>
      <c r="O90" s="423"/>
      <c r="P90" s="423"/>
      <c r="Q90" s="164" t="s">
        <v>7</v>
      </c>
      <c r="R90" s="165"/>
      <c r="S90" s="213"/>
    </row>
    <row r="91" spans="2:20" ht="27.75" hidden="1" customHeight="1">
      <c r="D91" s="186"/>
      <c r="F91" s="186"/>
      <c r="G91" s="187"/>
      <c r="H91" s="188"/>
      <c r="I91" s="189"/>
      <c r="J91" s="189"/>
      <c r="K91" s="188"/>
      <c r="L91" s="188"/>
      <c r="M91" s="201" t="s">
        <v>183</v>
      </c>
      <c r="N91" s="188"/>
      <c r="O91" s="190"/>
      <c r="P91" s="188"/>
      <c r="Q91" s="188" t="s">
        <v>8</v>
      </c>
      <c r="R91" s="188"/>
      <c r="S91" s="215"/>
    </row>
    <row r="92" spans="2:20" ht="28.5" hidden="1" customHeight="1">
      <c r="D92" s="5">
        <v>650</v>
      </c>
      <c r="F92" s="5"/>
      <c r="G92" s="191">
        <f>H92*O92</f>
        <v>11505000</v>
      </c>
      <c r="H92" s="1">
        <v>650</v>
      </c>
      <c r="I92" s="40">
        <f>J92*O92</f>
        <v>11505000</v>
      </c>
      <c r="J92" s="49">
        <f>H92-N92</f>
        <v>650</v>
      </c>
      <c r="K92" s="6"/>
      <c r="L92" s="4"/>
      <c r="M92" s="191"/>
      <c r="N92" s="4"/>
      <c r="O92" s="22">
        <v>17700</v>
      </c>
      <c r="P92" s="6" t="s">
        <v>48</v>
      </c>
      <c r="Q92" s="45" t="s">
        <v>250</v>
      </c>
      <c r="R92" s="6" t="s">
        <v>158</v>
      </c>
      <c r="S92" s="34" t="s">
        <v>249</v>
      </c>
    </row>
    <row r="93" spans="2:20" ht="28.5" hidden="1" customHeight="1">
      <c r="D93" s="5"/>
      <c r="F93" s="5"/>
      <c r="G93" s="191">
        <f>H93*O93</f>
        <v>0</v>
      </c>
      <c r="H93" s="1"/>
      <c r="I93" s="40">
        <f>J93*O93</f>
        <v>0</v>
      </c>
      <c r="J93" s="49">
        <f>H93-N93</f>
        <v>0</v>
      </c>
      <c r="K93" s="6"/>
      <c r="L93" s="4"/>
      <c r="M93" s="191"/>
      <c r="N93" s="4"/>
      <c r="O93" s="22">
        <v>12500</v>
      </c>
      <c r="P93" s="6" t="s">
        <v>48</v>
      </c>
      <c r="Q93" s="45" t="s">
        <v>119</v>
      </c>
      <c r="R93" s="6" t="s">
        <v>158</v>
      </c>
      <c r="S93" s="207">
        <v>110301</v>
      </c>
      <c r="T93" s="27"/>
    </row>
    <row r="94" spans="2:20" ht="28.5" hidden="1" customHeight="1" thickBot="1">
      <c r="D94" s="185">
        <v>1220</v>
      </c>
      <c r="F94" s="185"/>
      <c r="G94" s="191">
        <f>H94*O94</f>
        <v>54900000</v>
      </c>
      <c r="H94" s="43">
        <v>1220</v>
      </c>
      <c r="I94" s="40">
        <f>J94*O94</f>
        <v>900000</v>
      </c>
      <c r="J94" s="49">
        <f>H94-N94</f>
        <v>20</v>
      </c>
      <c r="K94" s="8"/>
      <c r="L94" s="15"/>
      <c r="M94" s="197">
        <f>N94*O94</f>
        <v>54000000</v>
      </c>
      <c r="N94" s="15">
        <v>1200</v>
      </c>
      <c r="O94" s="23">
        <v>45000</v>
      </c>
      <c r="P94" s="8" t="s">
        <v>48</v>
      </c>
      <c r="Q94" s="198" t="s">
        <v>233</v>
      </c>
      <c r="R94" s="8" t="s">
        <v>159</v>
      </c>
      <c r="S94" s="209">
        <v>110304</v>
      </c>
      <c r="T94" s="27"/>
    </row>
    <row r="95" spans="2:20" ht="28.5" hidden="1" customHeight="1" thickBot="1">
      <c r="D95" s="193"/>
      <c r="F95" s="193"/>
      <c r="G95" s="404">
        <f>SUM(G92:G94)</f>
        <v>66405000</v>
      </c>
      <c r="H95" s="405"/>
      <c r="I95" s="410">
        <f>SUM(I92:I94)</f>
        <v>12405000</v>
      </c>
      <c r="J95" s="410"/>
      <c r="K95" s="431">
        <f>SUM(K92:K94)</f>
        <v>0</v>
      </c>
      <c r="L95" s="431"/>
      <c r="M95" s="431">
        <f>SUM(M92:M94)</f>
        <v>54000000</v>
      </c>
      <c r="N95" s="431"/>
      <c r="O95" s="195"/>
      <c r="P95" s="194"/>
      <c r="Q95" s="194" t="s">
        <v>10</v>
      </c>
      <c r="R95" s="196"/>
      <c r="S95" s="216"/>
    </row>
    <row r="96" spans="2:20" ht="49.5" hidden="1" customHeight="1" thickBot="1">
      <c r="G96" s="101"/>
      <c r="H96" s="17"/>
      <c r="I96" s="52"/>
      <c r="J96" s="52"/>
      <c r="K96" s="17"/>
      <c r="L96" s="17"/>
      <c r="M96" s="101"/>
      <c r="N96" s="17"/>
      <c r="O96" s="24"/>
      <c r="P96" s="17"/>
      <c r="Q96" s="18"/>
      <c r="R96" s="18"/>
      <c r="S96" s="210"/>
    </row>
    <row r="97" spans="2:19" ht="25.5" hidden="1" customHeight="1">
      <c r="D97" s="77"/>
      <c r="F97" s="173"/>
      <c r="G97" s="382" t="s">
        <v>300</v>
      </c>
      <c r="H97" s="382"/>
      <c r="I97" s="382" t="s">
        <v>145</v>
      </c>
      <c r="J97" s="382"/>
      <c r="K97" s="78"/>
      <c r="L97" s="78"/>
      <c r="M97" s="199"/>
      <c r="N97" s="78"/>
      <c r="O97" s="79"/>
      <c r="P97" s="78"/>
      <c r="Q97" s="80" t="s">
        <v>171</v>
      </c>
      <c r="R97" s="41"/>
      <c r="S97" s="219"/>
    </row>
    <row r="98" spans="2:19" ht="25.5" hidden="1" customHeight="1">
      <c r="D98" s="81"/>
      <c r="F98" s="174"/>
      <c r="G98" s="96"/>
      <c r="H98" s="82"/>
      <c r="I98" s="83"/>
      <c r="J98" s="143" t="s">
        <v>146</v>
      </c>
      <c r="K98" s="144"/>
      <c r="L98" s="144"/>
      <c r="M98" s="200"/>
      <c r="N98" s="144"/>
      <c r="O98" s="135"/>
      <c r="P98" s="144"/>
      <c r="Q98" s="84" t="s">
        <v>292</v>
      </c>
      <c r="R98" s="56"/>
      <c r="S98" s="175"/>
    </row>
    <row r="99" spans="2:19" ht="25.5" hidden="1" customHeight="1" thickBot="1">
      <c r="D99" s="85"/>
      <c r="F99" s="85"/>
      <c r="G99" s="145"/>
      <c r="H99" s="136"/>
      <c r="I99" s="146"/>
      <c r="J99" s="146"/>
      <c r="K99" s="136"/>
      <c r="L99" s="136"/>
      <c r="M99" s="202" t="s">
        <v>183</v>
      </c>
      <c r="N99" s="136"/>
      <c r="O99" s="136"/>
      <c r="P99" s="136"/>
      <c r="Q99" s="86" t="s">
        <v>206</v>
      </c>
      <c r="R99" s="42"/>
      <c r="S99" s="205"/>
    </row>
    <row r="100" spans="2:19" ht="30" hidden="1" customHeight="1">
      <c r="D100" s="385" t="s">
        <v>144</v>
      </c>
      <c r="F100" s="385" t="s">
        <v>144</v>
      </c>
      <c r="G100" s="406" t="s">
        <v>63</v>
      </c>
      <c r="H100" s="406"/>
      <c r="I100" s="409" t="s">
        <v>170</v>
      </c>
      <c r="J100" s="409"/>
      <c r="K100" s="401" t="s">
        <v>2</v>
      </c>
      <c r="L100" s="401"/>
      <c r="M100" s="401" t="s">
        <v>169</v>
      </c>
      <c r="N100" s="401"/>
      <c r="O100" s="426" t="s">
        <v>139</v>
      </c>
      <c r="P100" s="401" t="s">
        <v>1</v>
      </c>
      <c r="Q100" s="401" t="s">
        <v>138</v>
      </c>
      <c r="R100" s="62"/>
      <c r="S100" s="424" t="s">
        <v>0</v>
      </c>
    </row>
    <row r="101" spans="2:19" ht="30" hidden="1" customHeight="1">
      <c r="D101" s="386"/>
      <c r="F101" s="386"/>
      <c r="G101" s="97" t="s">
        <v>143</v>
      </c>
      <c r="H101" s="49" t="s">
        <v>142</v>
      </c>
      <c r="I101" s="49" t="s">
        <v>143</v>
      </c>
      <c r="J101" s="49" t="s">
        <v>142</v>
      </c>
      <c r="K101" s="1" t="s">
        <v>4</v>
      </c>
      <c r="L101" s="1" t="s">
        <v>3</v>
      </c>
      <c r="M101" s="100" t="s">
        <v>141</v>
      </c>
      <c r="N101" s="1" t="s">
        <v>140</v>
      </c>
      <c r="O101" s="427"/>
      <c r="P101" s="422"/>
      <c r="Q101" s="422"/>
      <c r="R101" s="2"/>
      <c r="S101" s="425"/>
    </row>
    <row r="102" spans="2:19" ht="30" hidden="1" customHeight="1">
      <c r="D102" s="55"/>
      <c r="F102" s="55"/>
      <c r="G102" s="100">
        <f>H102*O102</f>
        <v>0</v>
      </c>
      <c r="H102" s="49"/>
      <c r="I102" s="40">
        <f>J102*O102</f>
        <v>0</v>
      </c>
      <c r="J102" s="49">
        <f>H102-N102</f>
        <v>0</v>
      </c>
      <c r="K102" s="1"/>
      <c r="L102" s="1"/>
      <c r="M102" s="191">
        <f>N102*O102</f>
        <v>0</v>
      </c>
      <c r="N102" s="1"/>
      <c r="O102" s="22">
        <v>220000</v>
      </c>
      <c r="P102" s="6" t="s">
        <v>35</v>
      </c>
      <c r="Q102" s="45" t="s">
        <v>219</v>
      </c>
      <c r="R102" s="2"/>
      <c r="S102" s="34" t="s">
        <v>218</v>
      </c>
    </row>
    <row r="103" spans="2:19" ht="39" hidden="1" customHeight="1">
      <c r="D103" s="20"/>
      <c r="F103" s="20"/>
      <c r="G103" s="100">
        <f t="shared" ref="G103:G118" si="12">H103*O103</f>
        <v>0</v>
      </c>
      <c r="H103" s="1"/>
      <c r="I103" s="40">
        <f t="shared" ref="I103:I118" si="13">J103*O103</f>
        <v>0</v>
      </c>
      <c r="J103" s="49">
        <f t="shared" ref="J103:J118" si="14">H103-N103</f>
        <v>0</v>
      </c>
      <c r="K103" s="6"/>
      <c r="L103" s="6"/>
      <c r="M103" s="191">
        <f t="shared" ref="M103:M118" si="15">N103*O103</f>
        <v>0</v>
      </c>
      <c r="N103" s="6"/>
      <c r="O103" s="22">
        <v>249500</v>
      </c>
      <c r="P103" s="6" t="s">
        <v>35</v>
      </c>
      <c r="Q103" s="45" t="s">
        <v>182</v>
      </c>
      <c r="R103" s="66" t="s">
        <v>158</v>
      </c>
      <c r="S103" s="34">
        <v>120103</v>
      </c>
    </row>
    <row r="104" spans="2:19" ht="39" hidden="1" customHeight="1">
      <c r="B104" s="259">
        <v>893</v>
      </c>
      <c r="C104" s="3">
        <v>2150</v>
      </c>
      <c r="D104" s="20">
        <v>416.5</v>
      </c>
      <c r="F104" s="20"/>
      <c r="G104" s="100">
        <f t="shared" si="12"/>
        <v>970249500</v>
      </c>
      <c r="H104" s="1">
        <f>416+2150+893</f>
        <v>3459</v>
      </c>
      <c r="I104" s="40">
        <f t="shared" si="13"/>
        <v>754264500</v>
      </c>
      <c r="J104" s="49">
        <f t="shared" si="14"/>
        <v>2689</v>
      </c>
      <c r="K104" s="6"/>
      <c r="L104" s="6"/>
      <c r="M104" s="191">
        <f t="shared" si="15"/>
        <v>215985000</v>
      </c>
      <c r="N104" s="6">
        <v>770</v>
      </c>
      <c r="O104" s="22">
        <v>280500</v>
      </c>
      <c r="P104" s="6" t="s">
        <v>35</v>
      </c>
      <c r="Q104" s="46" t="s">
        <v>120</v>
      </c>
      <c r="R104" s="66" t="s">
        <v>158</v>
      </c>
      <c r="S104" s="34">
        <v>120104</v>
      </c>
    </row>
    <row r="105" spans="2:19" ht="39" hidden="1" customHeight="1">
      <c r="D105" s="20">
        <v>92.36</v>
      </c>
      <c r="F105" s="20"/>
      <c r="G105" s="100">
        <f t="shared" si="12"/>
        <v>31096000</v>
      </c>
      <c r="H105" s="1">
        <v>92</v>
      </c>
      <c r="I105" s="40">
        <f t="shared" si="13"/>
        <v>0</v>
      </c>
      <c r="J105" s="49">
        <f t="shared" si="14"/>
        <v>0</v>
      </c>
      <c r="K105" s="6"/>
      <c r="L105" s="6"/>
      <c r="M105" s="191">
        <f t="shared" si="15"/>
        <v>31096000</v>
      </c>
      <c r="N105" s="4">
        <v>92</v>
      </c>
      <c r="O105" s="22">
        <v>338000</v>
      </c>
      <c r="P105" s="6" t="s">
        <v>35</v>
      </c>
      <c r="Q105" s="46" t="s">
        <v>51</v>
      </c>
      <c r="R105" s="66" t="s">
        <v>158</v>
      </c>
      <c r="S105" s="207" t="s">
        <v>49</v>
      </c>
    </row>
    <row r="106" spans="2:19" ht="39" hidden="1" customHeight="1">
      <c r="D106" s="20">
        <v>708.39</v>
      </c>
      <c r="F106" s="20"/>
      <c r="G106" s="100">
        <f t="shared" si="12"/>
        <v>258774000</v>
      </c>
      <c r="H106" s="1">
        <v>708</v>
      </c>
      <c r="I106" s="40">
        <f t="shared" si="13"/>
        <v>-17909500</v>
      </c>
      <c r="J106" s="49">
        <f t="shared" si="14"/>
        <v>-49</v>
      </c>
      <c r="K106" s="6"/>
      <c r="L106" s="6"/>
      <c r="M106" s="191">
        <f t="shared" si="15"/>
        <v>276683500</v>
      </c>
      <c r="N106" s="4">
        <v>757</v>
      </c>
      <c r="O106" s="22">
        <v>365500</v>
      </c>
      <c r="P106" s="6" t="s">
        <v>35</v>
      </c>
      <c r="Q106" s="46" t="s">
        <v>160</v>
      </c>
      <c r="R106" s="66" t="s">
        <v>158</v>
      </c>
      <c r="S106" s="207">
        <v>120107</v>
      </c>
    </row>
    <row r="107" spans="2:19" ht="39" hidden="1" customHeight="1">
      <c r="D107" s="20"/>
      <c r="F107" s="20"/>
      <c r="G107" s="100">
        <f t="shared" si="12"/>
        <v>0</v>
      </c>
      <c r="H107" s="1"/>
      <c r="I107" s="40">
        <f t="shared" si="13"/>
        <v>0</v>
      </c>
      <c r="J107" s="49">
        <f t="shared" si="14"/>
        <v>0</v>
      </c>
      <c r="K107" s="6"/>
      <c r="L107" s="6"/>
      <c r="M107" s="191">
        <f t="shared" si="15"/>
        <v>0</v>
      </c>
      <c r="N107" s="4"/>
      <c r="O107" s="22">
        <v>25400</v>
      </c>
      <c r="P107" s="6" t="s">
        <v>35</v>
      </c>
      <c r="Q107" s="46" t="s">
        <v>161</v>
      </c>
      <c r="R107" s="66" t="s">
        <v>158</v>
      </c>
      <c r="S107" s="207">
        <v>120110</v>
      </c>
    </row>
    <row r="108" spans="2:19" ht="39" hidden="1" customHeight="1">
      <c r="C108" s="3">
        <v>1800</v>
      </c>
      <c r="D108" s="20">
        <v>118.37</v>
      </c>
      <c r="F108" s="20"/>
      <c r="G108" s="100">
        <f t="shared" si="12"/>
        <v>37796000</v>
      </c>
      <c r="H108" s="1">
        <f>118+1600</f>
        <v>1718</v>
      </c>
      <c r="I108" s="40">
        <f t="shared" si="13"/>
        <v>18832000</v>
      </c>
      <c r="J108" s="49">
        <f t="shared" si="14"/>
        <v>856</v>
      </c>
      <c r="K108" s="6"/>
      <c r="L108" s="6"/>
      <c r="M108" s="191">
        <f t="shared" si="15"/>
        <v>18964000</v>
      </c>
      <c r="N108" s="4">
        <v>862</v>
      </c>
      <c r="O108" s="22">
        <v>22000</v>
      </c>
      <c r="P108" s="6" t="s">
        <v>35</v>
      </c>
      <c r="Q108" s="46" t="s">
        <v>121</v>
      </c>
      <c r="R108" s="66" t="s">
        <v>158</v>
      </c>
      <c r="S108" s="207">
        <v>120302</v>
      </c>
    </row>
    <row r="109" spans="2:19" ht="39" hidden="1" customHeight="1">
      <c r="C109" s="3">
        <f>2300-1800</f>
        <v>500</v>
      </c>
      <c r="D109" s="20">
        <v>709.89</v>
      </c>
      <c r="F109" s="20"/>
      <c r="G109" s="100">
        <f t="shared" si="12"/>
        <v>45469000</v>
      </c>
      <c r="H109" s="1">
        <f>709+400</f>
        <v>1109</v>
      </c>
      <c r="I109" s="40">
        <f t="shared" si="13"/>
        <v>14432000</v>
      </c>
      <c r="J109" s="49">
        <f t="shared" si="14"/>
        <v>352</v>
      </c>
      <c r="K109" s="6"/>
      <c r="L109" s="6"/>
      <c r="M109" s="191">
        <f t="shared" si="15"/>
        <v>31037000</v>
      </c>
      <c r="N109" s="4">
        <v>757</v>
      </c>
      <c r="O109" s="22">
        <v>41000</v>
      </c>
      <c r="P109" s="6" t="s">
        <v>35</v>
      </c>
      <c r="Q109" s="46" t="s">
        <v>122</v>
      </c>
      <c r="R109" s="66" t="s">
        <v>158</v>
      </c>
      <c r="S109" s="207">
        <v>120303</v>
      </c>
    </row>
    <row r="110" spans="2:19" ht="39" hidden="1" customHeight="1">
      <c r="D110" s="20"/>
      <c r="F110" s="20"/>
      <c r="G110" s="100">
        <f t="shared" si="12"/>
        <v>0</v>
      </c>
      <c r="H110" s="1"/>
      <c r="I110" s="40">
        <f t="shared" si="13"/>
        <v>0</v>
      </c>
      <c r="J110" s="49">
        <f t="shared" si="14"/>
        <v>0</v>
      </c>
      <c r="K110" s="6"/>
      <c r="L110" s="6"/>
      <c r="M110" s="191">
        <f t="shared" si="15"/>
        <v>0</v>
      </c>
      <c r="N110" s="4"/>
      <c r="O110" s="108">
        <v>29300</v>
      </c>
      <c r="P110" s="6" t="s">
        <v>35</v>
      </c>
      <c r="Q110" s="46" t="s">
        <v>123</v>
      </c>
      <c r="R110" s="66" t="s">
        <v>158</v>
      </c>
      <c r="S110" s="207">
        <v>120305</v>
      </c>
    </row>
    <row r="111" spans="2:19" ht="39" hidden="1" customHeight="1">
      <c r="D111" s="20"/>
      <c r="F111" s="20"/>
      <c r="G111" s="100">
        <f t="shared" si="12"/>
        <v>0</v>
      </c>
      <c r="H111" s="1"/>
      <c r="I111" s="40">
        <f t="shared" si="13"/>
        <v>0</v>
      </c>
      <c r="J111" s="49">
        <f t="shared" si="14"/>
        <v>0</v>
      </c>
      <c r="K111" s="6"/>
      <c r="L111" s="6"/>
      <c r="M111" s="191">
        <f t="shared" si="15"/>
        <v>0</v>
      </c>
      <c r="N111" s="4"/>
      <c r="O111" s="22">
        <v>26400</v>
      </c>
      <c r="P111" s="6" t="s">
        <v>35</v>
      </c>
      <c r="Q111" s="46" t="s">
        <v>124</v>
      </c>
      <c r="R111" s="66" t="s">
        <v>158</v>
      </c>
      <c r="S111" s="207">
        <v>120307</v>
      </c>
    </row>
    <row r="112" spans="2:19" ht="39" hidden="1" customHeight="1">
      <c r="D112" s="20">
        <v>800.75</v>
      </c>
      <c r="F112" s="20"/>
      <c r="G112" s="100">
        <f t="shared" si="12"/>
        <v>4416000</v>
      </c>
      <c r="H112" s="203">
        <v>800</v>
      </c>
      <c r="I112" s="40">
        <f t="shared" si="13"/>
        <v>-270480</v>
      </c>
      <c r="J112" s="49">
        <f t="shared" si="14"/>
        <v>-49</v>
      </c>
      <c r="K112" s="6"/>
      <c r="L112" s="6"/>
      <c r="M112" s="191">
        <f t="shared" si="15"/>
        <v>4686480</v>
      </c>
      <c r="N112" s="4">
        <v>849</v>
      </c>
      <c r="O112" s="22">
        <v>5520</v>
      </c>
      <c r="P112" s="6" t="s">
        <v>35</v>
      </c>
      <c r="Q112" s="46" t="s">
        <v>52</v>
      </c>
      <c r="R112" s="66" t="s">
        <v>158</v>
      </c>
      <c r="S112" s="207" t="s">
        <v>50</v>
      </c>
    </row>
    <row r="113" spans="2:19" ht="39" hidden="1" customHeight="1">
      <c r="B113" s="259" t="s">
        <v>270</v>
      </c>
      <c r="C113" s="3" t="s">
        <v>296</v>
      </c>
      <c r="D113" s="110"/>
      <c r="F113" s="110"/>
      <c r="G113" s="100">
        <f t="shared" si="12"/>
        <v>12172000</v>
      </c>
      <c r="H113" s="1">
        <f>2150*250+223250</f>
        <v>760750</v>
      </c>
      <c r="I113" s="40">
        <f t="shared" si="13"/>
        <v>12172000</v>
      </c>
      <c r="J113" s="49">
        <f t="shared" si="14"/>
        <v>760750</v>
      </c>
      <c r="K113" s="6"/>
      <c r="L113" s="6"/>
      <c r="M113" s="191">
        <f t="shared" si="15"/>
        <v>0</v>
      </c>
      <c r="N113" s="4"/>
      <c r="O113" s="22">
        <v>16</v>
      </c>
      <c r="P113" s="6" t="s">
        <v>48</v>
      </c>
      <c r="Q113" s="46" t="s">
        <v>162</v>
      </c>
      <c r="R113" s="66" t="s">
        <v>158</v>
      </c>
      <c r="S113" s="207">
        <v>120701</v>
      </c>
    </row>
    <row r="114" spans="2:19" ht="39" hidden="1" customHeight="1">
      <c r="D114" s="110">
        <v>413319.5</v>
      </c>
      <c r="F114" s="110"/>
      <c r="G114" s="100">
        <f t="shared" si="12"/>
        <v>13226208</v>
      </c>
      <c r="H114" s="1">
        <v>413319</v>
      </c>
      <c r="I114" s="40">
        <f t="shared" si="13"/>
        <v>-3653792</v>
      </c>
      <c r="J114" s="49">
        <f t="shared" si="14"/>
        <v>-114181</v>
      </c>
      <c r="K114" s="6"/>
      <c r="L114" s="6"/>
      <c r="M114" s="191">
        <f t="shared" si="15"/>
        <v>16880000</v>
      </c>
      <c r="N114" s="4">
        <v>527500</v>
      </c>
      <c r="O114" s="22">
        <v>32</v>
      </c>
      <c r="P114" s="6" t="s">
        <v>48</v>
      </c>
      <c r="Q114" s="45" t="s">
        <v>235</v>
      </c>
      <c r="R114" s="66" t="s">
        <v>158</v>
      </c>
      <c r="S114" s="34" t="s">
        <v>234</v>
      </c>
    </row>
    <row r="115" spans="2:19" ht="39" hidden="1" customHeight="1">
      <c r="D115" s="110">
        <v>11000</v>
      </c>
      <c r="F115" s="110"/>
      <c r="G115" s="100">
        <f t="shared" si="12"/>
        <v>6545000</v>
      </c>
      <c r="H115" s="1">
        <v>11000</v>
      </c>
      <c r="I115" s="40">
        <f t="shared" si="13"/>
        <v>6545000</v>
      </c>
      <c r="J115" s="49">
        <f t="shared" si="14"/>
        <v>11000</v>
      </c>
      <c r="K115" s="6"/>
      <c r="L115" s="6"/>
      <c r="M115" s="191">
        <f t="shared" si="15"/>
        <v>0</v>
      </c>
      <c r="N115" s="4"/>
      <c r="O115" s="169">
        <v>595</v>
      </c>
      <c r="P115" s="166" t="s">
        <v>204</v>
      </c>
      <c r="Q115" s="167" t="s">
        <v>205</v>
      </c>
      <c r="R115" s="66" t="s">
        <v>158</v>
      </c>
      <c r="S115" s="207">
        <v>120703</v>
      </c>
    </row>
    <row r="116" spans="2:19" ht="39" hidden="1" customHeight="1">
      <c r="B116" s="259" t="s">
        <v>271</v>
      </c>
      <c r="C116" s="3" t="s">
        <v>297</v>
      </c>
      <c r="D116" s="57">
        <v>17156.169999999998</v>
      </c>
      <c r="F116" s="57"/>
      <c r="G116" s="100">
        <f t="shared" si="12"/>
        <v>100991020</v>
      </c>
      <c r="H116" s="58">
        <f>17156+2150*14+893*14</f>
        <v>59758</v>
      </c>
      <c r="I116" s="40">
        <f t="shared" si="13"/>
        <v>62413390</v>
      </c>
      <c r="J116" s="49">
        <f t="shared" si="14"/>
        <v>36931</v>
      </c>
      <c r="K116" s="7"/>
      <c r="L116" s="59"/>
      <c r="M116" s="191">
        <f t="shared" si="15"/>
        <v>38577630</v>
      </c>
      <c r="N116" s="168">
        <v>22827</v>
      </c>
      <c r="O116" s="60">
        <v>1690</v>
      </c>
      <c r="P116" s="4" t="s">
        <v>44</v>
      </c>
      <c r="Q116" s="74" t="s">
        <v>163</v>
      </c>
      <c r="R116" s="66" t="s">
        <v>158</v>
      </c>
      <c r="S116" s="213">
        <v>120801</v>
      </c>
    </row>
    <row r="117" spans="2:19" ht="39" hidden="1" customHeight="1">
      <c r="B117" s="259" t="s">
        <v>272</v>
      </c>
      <c r="C117" s="3" t="s">
        <v>298</v>
      </c>
      <c r="D117" s="57">
        <v>19358.900000000001</v>
      </c>
      <c r="F117" s="57"/>
      <c r="G117" s="100">
        <f t="shared" si="12"/>
        <v>53861780</v>
      </c>
      <c r="H117" s="58">
        <f>19358+2150*1.3*9+10448</f>
        <v>54961</v>
      </c>
      <c r="I117" s="40">
        <f t="shared" si="13"/>
        <v>32781980</v>
      </c>
      <c r="J117" s="49">
        <f t="shared" si="14"/>
        <v>33451</v>
      </c>
      <c r="K117" s="7"/>
      <c r="L117" s="59"/>
      <c r="M117" s="191">
        <f t="shared" si="15"/>
        <v>21079800</v>
      </c>
      <c r="N117" s="73">
        <v>21510</v>
      </c>
      <c r="O117" s="60">
        <v>980</v>
      </c>
      <c r="P117" s="4" t="s">
        <v>44</v>
      </c>
      <c r="Q117" s="74" t="s">
        <v>164</v>
      </c>
      <c r="R117" s="66" t="s">
        <v>158</v>
      </c>
      <c r="S117" s="213">
        <v>121001</v>
      </c>
    </row>
    <row r="118" spans="2:19" ht="39" hidden="1" customHeight="1">
      <c r="B118" s="259" t="s">
        <v>273</v>
      </c>
      <c r="C118" s="266" t="s">
        <v>299</v>
      </c>
      <c r="D118" s="57">
        <v>64529.75</v>
      </c>
      <c r="F118" s="57"/>
      <c r="G118" s="100">
        <f t="shared" si="12"/>
        <v>155725100</v>
      </c>
      <c r="H118" s="58">
        <f>34827+2150*1.3*30+64529</f>
        <v>183206</v>
      </c>
      <c r="I118" s="40">
        <f t="shared" si="13"/>
        <v>94780100</v>
      </c>
      <c r="J118" s="49">
        <f t="shared" si="14"/>
        <v>111506</v>
      </c>
      <c r="K118" s="7"/>
      <c r="L118" s="59"/>
      <c r="M118" s="191">
        <f t="shared" si="15"/>
        <v>60945000</v>
      </c>
      <c r="N118" s="73">
        <v>71700</v>
      </c>
      <c r="O118" s="60">
        <v>850</v>
      </c>
      <c r="P118" s="4" t="s">
        <v>44</v>
      </c>
      <c r="Q118" s="74" t="s">
        <v>165</v>
      </c>
      <c r="R118" s="66" t="s">
        <v>158</v>
      </c>
      <c r="S118" s="213">
        <v>121002</v>
      </c>
    </row>
    <row r="119" spans="2:19" ht="39" hidden="1" customHeight="1" thickBot="1">
      <c r="D119" s="21"/>
      <c r="F119" s="21"/>
      <c r="G119" s="397">
        <f>SUM(G102:G118)</f>
        <v>1690321608</v>
      </c>
      <c r="H119" s="398"/>
      <c r="I119" s="402">
        <f>SUM(I102:I118)</f>
        <v>974387198</v>
      </c>
      <c r="J119" s="402"/>
      <c r="K119" s="400">
        <f>SUM(K103:K115)</f>
        <v>0</v>
      </c>
      <c r="L119" s="400"/>
      <c r="M119" s="400">
        <f>SUM(M102:M118)</f>
        <v>715934410</v>
      </c>
      <c r="N119" s="400"/>
      <c r="O119" s="39"/>
      <c r="P119" s="115"/>
      <c r="Q119" s="115" t="s">
        <v>11</v>
      </c>
      <c r="R119" s="67"/>
      <c r="S119" s="209"/>
    </row>
    <row r="120" spans="2:19" ht="49.5" hidden="1" customHeight="1" thickBot="1">
      <c r="D120" s="13"/>
      <c r="F120" s="13"/>
      <c r="G120" s="99"/>
      <c r="H120" s="37"/>
      <c r="I120" s="50"/>
      <c r="J120" s="50"/>
      <c r="K120" s="44"/>
      <c r="L120" s="44"/>
      <c r="M120" s="99"/>
      <c r="N120" s="37"/>
      <c r="O120" s="24"/>
      <c r="P120" s="17"/>
      <c r="Q120" s="17"/>
      <c r="R120" s="17"/>
      <c r="S120" s="210"/>
    </row>
    <row r="121" spans="2:19" ht="25.5" hidden="1" customHeight="1">
      <c r="D121" s="77"/>
      <c r="F121" s="173"/>
      <c r="G121" s="382" t="s">
        <v>300</v>
      </c>
      <c r="H121" s="382"/>
      <c r="I121" s="382" t="s">
        <v>145</v>
      </c>
      <c r="J121" s="382"/>
      <c r="K121" s="78"/>
      <c r="L121" s="78"/>
      <c r="M121" s="199"/>
      <c r="N121" s="78"/>
      <c r="O121" s="79"/>
      <c r="P121" s="78"/>
      <c r="Q121" s="80" t="s">
        <v>171</v>
      </c>
      <c r="R121" s="41"/>
      <c r="S121" s="219"/>
    </row>
    <row r="122" spans="2:19" ht="25.5" hidden="1" customHeight="1">
      <c r="D122" s="81"/>
      <c r="F122" s="174"/>
      <c r="G122" s="96"/>
      <c r="H122" s="82"/>
      <c r="I122" s="83"/>
      <c r="J122" s="143" t="s">
        <v>146</v>
      </c>
      <c r="K122" s="144"/>
      <c r="L122" s="144"/>
      <c r="M122" s="200"/>
      <c r="N122" s="144"/>
      <c r="O122" s="135"/>
      <c r="P122" s="144"/>
      <c r="Q122" s="84" t="s">
        <v>292</v>
      </c>
      <c r="R122" s="56"/>
      <c r="S122" s="175"/>
    </row>
    <row r="123" spans="2:19" ht="25.5" hidden="1" customHeight="1" thickBot="1">
      <c r="D123" s="85"/>
      <c r="F123" s="85"/>
      <c r="G123" s="145"/>
      <c r="H123" s="136"/>
      <c r="I123" s="146"/>
      <c r="J123" s="146"/>
      <c r="K123" s="136"/>
      <c r="L123" s="136"/>
      <c r="M123" s="202" t="s">
        <v>183</v>
      </c>
      <c r="N123" s="136"/>
      <c r="O123" s="136"/>
      <c r="P123" s="136"/>
      <c r="Q123" s="86" t="s">
        <v>207</v>
      </c>
      <c r="R123" s="42"/>
      <c r="S123" s="205"/>
    </row>
    <row r="124" spans="2:19" ht="30" hidden="1" customHeight="1">
      <c r="D124" s="385" t="s">
        <v>144</v>
      </c>
      <c r="F124" s="385" t="s">
        <v>144</v>
      </c>
      <c r="G124" s="406" t="s">
        <v>63</v>
      </c>
      <c r="H124" s="406"/>
      <c r="I124" s="409" t="s">
        <v>170</v>
      </c>
      <c r="J124" s="409"/>
      <c r="K124" s="401" t="s">
        <v>2</v>
      </c>
      <c r="L124" s="401"/>
      <c r="M124" s="401" t="s">
        <v>169</v>
      </c>
      <c r="N124" s="401"/>
      <c r="O124" s="426" t="s">
        <v>139</v>
      </c>
      <c r="P124" s="401" t="s">
        <v>1</v>
      </c>
      <c r="Q124" s="401" t="s">
        <v>138</v>
      </c>
      <c r="R124" s="62"/>
      <c r="S124" s="424" t="s">
        <v>0</v>
      </c>
    </row>
    <row r="125" spans="2:19" ht="30" hidden="1" customHeight="1">
      <c r="D125" s="386"/>
      <c r="F125" s="386"/>
      <c r="G125" s="97" t="s">
        <v>143</v>
      </c>
      <c r="H125" s="49" t="s">
        <v>142</v>
      </c>
      <c r="I125" s="49" t="s">
        <v>143</v>
      </c>
      <c r="J125" s="49" t="s">
        <v>142</v>
      </c>
      <c r="K125" s="1" t="s">
        <v>4</v>
      </c>
      <c r="L125" s="1" t="s">
        <v>3</v>
      </c>
      <c r="M125" s="100" t="s">
        <v>141</v>
      </c>
      <c r="N125" s="1" t="s">
        <v>140</v>
      </c>
      <c r="O125" s="427"/>
      <c r="P125" s="422"/>
      <c r="Q125" s="422"/>
      <c r="R125" s="2"/>
      <c r="S125" s="425"/>
    </row>
    <row r="126" spans="2:19" ht="35.25" hidden="1" customHeight="1">
      <c r="D126" s="5"/>
      <c r="F126" s="5"/>
      <c r="G126" s="100"/>
      <c r="H126" s="1"/>
      <c r="I126" s="40">
        <f>J126*O126</f>
        <v>-103292000</v>
      </c>
      <c r="J126" s="49">
        <f>H126-N126</f>
        <v>-136</v>
      </c>
      <c r="K126" s="6"/>
      <c r="L126" s="6"/>
      <c r="M126" s="191">
        <f>N126*O126</f>
        <v>103292000</v>
      </c>
      <c r="N126" s="4">
        <v>136</v>
      </c>
      <c r="O126" s="22">
        <v>759500</v>
      </c>
      <c r="P126" s="6" t="s">
        <v>35</v>
      </c>
      <c r="Q126" s="46" t="s">
        <v>110</v>
      </c>
      <c r="R126" s="46" t="s">
        <v>158</v>
      </c>
      <c r="S126" s="207">
        <v>130804</v>
      </c>
    </row>
    <row r="127" spans="2:19" ht="35.25" hidden="1" customHeight="1">
      <c r="D127" s="5"/>
      <c r="F127" s="5"/>
      <c r="G127" s="100"/>
      <c r="H127" s="1"/>
      <c r="I127" s="40">
        <f>J127*O127</f>
        <v>-217550000</v>
      </c>
      <c r="J127" s="49">
        <f>H127-N127</f>
        <v>-380</v>
      </c>
      <c r="K127" s="6"/>
      <c r="L127" s="6"/>
      <c r="M127" s="191">
        <f>N127*O127</f>
        <v>217550000</v>
      </c>
      <c r="N127" s="4">
        <v>380</v>
      </c>
      <c r="O127" s="22">
        <v>572500</v>
      </c>
      <c r="P127" s="6" t="s">
        <v>35</v>
      </c>
      <c r="Q127" s="45" t="s">
        <v>237</v>
      </c>
      <c r="R127" s="46" t="s">
        <v>158</v>
      </c>
      <c r="S127" s="34" t="s">
        <v>236</v>
      </c>
    </row>
    <row r="128" spans="2:19" ht="35.25" hidden="1" customHeight="1">
      <c r="D128" s="5"/>
      <c r="F128" s="5"/>
      <c r="G128" s="100">
        <f>H128*O128</f>
        <v>7986000</v>
      </c>
      <c r="H128" s="1">
        <v>44</v>
      </c>
      <c r="I128" s="40">
        <f>J128*O128</f>
        <v>7986000</v>
      </c>
      <c r="J128" s="49">
        <f>H128-N128</f>
        <v>44</v>
      </c>
      <c r="K128" s="6"/>
      <c r="L128" s="6"/>
      <c r="M128" s="191">
        <f>N128*O128</f>
        <v>0</v>
      </c>
      <c r="N128" s="4"/>
      <c r="O128" s="22">
        <v>181500</v>
      </c>
      <c r="P128" s="6" t="s">
        <v>155</v>
      </c>
      <c r="Q128" s="46" t="s">
        <v>208</v>
      </c>
      <c r="R128" s="46" t="s">
        <v>158</v>
      </c>
      <c r="S128" s="207">
        <v>131109</v>
      </c>
    </row>
    <row r="129" spans="2:19" ht="27" hidden="1" customHeight="1" thickBot="1">
      <c r="D129" s="21"/>
      <c r="F129" s="21"/>
      <c r="G129" s="397">
        <f>SUM(G126:G128)</f>
        <v>7986000</v>
      </c>
      <c r="H129" s="398"/>
      <c r="I129" s="402">
        <f>SUM(I126:I128)</f>
        <v>-312856000</v>
      </c>
      <c r="J129" s="402"/>
      <c r="K129" s="400">
        <f>SUM(K126:K126)</f>
        <v>0</v>
      </c>
      <c r="L129" s="400"/>
      <c r="M129" s="400">
        <f>SUM(M126:M128)</f>
        <v>320842000</v>
      </c>
      <c r="N129" s="400"/>
      <c r="O129" s="39"/>
      <c r="P129" s="115"/>
      <c r="Q129" s="115" t="s">
        <v>111</v>
      </c>
      <c r="R129" s="15"/>
      <c r="S129" s="209"/>
    </row>
    <row r="130" spans="2:19" ht="25.5" hidden="1" customHeight="1" thickBot="1">
      <c r="D130" s="85"/>
      <c r="F130" s="85"/>
      <c r="G130" s="145"/>
      <c r="H130" s="136"/>
      <c r="I130" s="146"/>
      <c r="J130" s="146"/>
      <c r="K130" s="136"/>
      <c r="L130" s="136"/>
      <c r="M130" s="202" t="s">
        <v>183</v>
      </c>
      <c r="N130" s="136"/>
      <c r="O130" s="136"/>
      <c r="P130" s="136"/>
      <c r="Q130" s="86" t="s">
        <v>209</v>
      </c>
      <c r="R130" s="42"/>
      <c r="S130" s="205"/>
    </row>
    <row r="131" spans="2:19" ht="43.5" hidden="1" customHeight="1">
      <c r="D131" s="20">
        <v>7280</v>
      </c>
      <c r="F131" s="20"/>
      <c r="G131" s="100">
        <f t="shared" ref="G131:G141" si="16">H131*O131</f>
        <v>531440000</v>
      </c>
      <c r="H131" s="1">
        <v>7280</v>
      </c>
      <c r="I131" s="40">
        <f>J131*O131</f>
        <v>-577941000</v>
      </c>
      <c r="J131" s="49">
        <f>H131-N131</f>
        <v>-7917</v>
      </c>
      <c r="K131" s="6"/>
      <c r="L131" s="6"/>
      <c r="M131" s="113">
        <f t="shared" ref="M131:M141" si="17">N131*O131</f>
        <v>1109381000</v>
      </c>
      <c r="N131" s="4">
        <v>15197</v>
      </c>
      <c r="O131" s="22">
        <v>73000</v>
      </c>
      <c r="P131" s="6" t="s">
        <v>35</v>
      </c>
      <c r="Q131" s="45" t="s">
        <v>239</v>
      </c>
      <c r="R131" s="65" t="s">
        <v>158</v>
      </c>
      <c r="S131" s="34" t="s">
        <v>238</v>
      </c>
    </row>
    <row r="132" spans="2:19" ht="43.5" hidden="1" customHeight="1">
      <c r="D132" s="20"/>
      <c r="F132" s="20"/>
      <c r="G132" s="100">
        <f t="shared" si="16"/>
        <v>0</v>
      </c>
      <c r="H132" s="1"/>
      <c r="I132" s="40">
        <f t="shared" ref="I132:I141" si="18">J132*O132</f>
        <v>0</v>
      </c>
      <c r="J132" s="49">
        <f t="shared" ref="J132:J141" si="19">H132-N132</f>
        <v>0</v>
      </c>
      <c r="K132" s="6"/>
      <c r="L132" s="6"/>
      <c r="M132" s="100">
        <f t="shared" si="17"/>
        <v>0</v>
      </c>
      <c r="N132" s="4"/>
      <c r="O132" s="22">
        <v>6170</v>
      </c>
      <c r="P132" s="6" t="s">
        <v>35</v>
      </c>
      <c r="Q132" s="45" t="s">
        <v>166</v>
      </c>
      <c r="R132" s="65" t="s">
        <v>158</v>
      </c>
      <c r="S132" s="207">
        <v>140701</v>
      </c>
    </row>
    <row r="133" spans="2:19" ht="43.5" hidden="1" customHeight="1">
      <c r="D133" s="20"/>
      <c r="F133" s="20"/>
      <c r="G133" s="100">
        <f t="shared" si="16"/>
        <v>1064000</v>
      </c>
      <c r="H133" s="1">
        <v>140</v>
      </c>
      <c r="I133" s="40">
        <f t="shared" si="18"/>
        <v>1064000</v>
      </c>
      <c r="J133" s="49">
        <f t="shared" si="19"/>
        <v>140</v>
      </c>
      <c r="K133" s="6"/>
      <c r="L133" s="6"/>
      <c r="M133" s="100">
        <f t="shared" si="17"/>
        <v>0</v>
      </c>
      <c r="N133" s="4"/>
      <c r="O133" s="22">
        <v>7600</v>
      </c>
      <c r="P133" s="6" t="s">
        <v>35</v>
      </c>
      <c r="Q133" s="45" t="s">
        <v>136</v>
      </c>
      <c r="R133" s="65" t="s">
        <v>158</v>
      </c>
      <c r="S133" s="207">
        <v>140704</v>
      </c>
    </row>
    <row r="134" spans="2:19" ht="43.5" hidden="1" customHeight="1">
      <c r="D134" s="20"/>
      <c r="F134" s="20"/>
      <c r="G134" s="100">
        <f t="shared" si="16"/>
        <v>455000</v>
      </c>
      <c r="H134" s="1">
        <v>140</v>
      </c>
      <c r="I134" s="40">
        <f t="shared" si="18"/>
        <v>455000</v>
      </c>
      <c r="J134" s="49">
        <f t="shared" si="19"/>
        <v>140</v>
      </c>
      <c r="K134" s="6"/>
      <c r="L134" s="6"/>
      <c r="M134" s="100">
        <f t="shared" si="17"/>
        <v>0</v>
      </c>
      <c r="N134" s="4"/>
      <c r="O134" s="22">
        <v>3250</v>
      </c>
      <c r="P134" s="6" t="s">
        <v>35</v>
      </c>
      <c r="Q134" s="45" t="s">
        <v>167</v>
      </c>
      <c r="R134" s="65" t="s">
        <v>158</v>
      </c>
      <c r="S134" s="207">
        <v>140801</v>
      </c>
    </row>
    <row r="135" spans="2:19" ht="43.5" hidden="1" customHeight="1">
      <c r="B135" s="259">
        <v>950</v>
      </c>
      <c r="D135" s="20"/>
      <c r="F135" s="20"/>
      <c r="G135" s="100">
        <f t="shared" si="16"/>
        <v>72485000</v>
      </c>
      <c r="H135" s="1">
        <v>950</v>
      </c>
      <c r="I135" s="40">
        <f t="shared" si="18"/>
        <v>72485000</v>
      </c>
      <c r="J135" s="49">
        <f t="shared" si="19"/>
        <v>950</v>
      </c>
      <c r="K135" s="6"/>
      <c r="L135" s="6"/>
      <c r="M135" s="100">
        <f t="shared" si="17"/>
        <v>0</v>
      </c>
      <c r="N135" s="4"/>
      <c r="O135" s="22">
        <v>76300</v>
      </c>
      <c r="P135" s="6" t="s">
        <v>35</v>
      </c>
      <c r="Q135" s="45" t="s">
        <v>275</v>
      </c>
      <c r="R135" s="65" t="s">
        <v>158</v>
      </c>
      <c r="S135" s="207" t="s">
        <v>274</v>
      </c>
    </row>
    <row r="136" spans="2:19" ht="43.5" hidden="1" customHeight="1">
      <c r="D136" s="20"/>
      <c r="F136" s="20"/>
      <c r="G136" s="100">
        <f t="shared" si="16"/>
        <v>0</v>
      </c>
      <c r="H136" s="1"/>
      <c r="I136" s="40">
        <f t="shared" si="18"/>
        <v>0</v>
      </c>
      <c r="J136" s="49">
        <f t="shared" si="19"/>
        <v>0</v>
      </c>
      <c r="K136" s="6"/>
      <c r="L136" s="6"/>
      <c r="M136" s="100">
        <f t="shared" si="17"/>
        <v>0</v>
      </c>
      <c r="N136" s="4"/>
      <c r="O136" s="22">
        <v>9670</v>
      </c>
      <c r="P136" s="6" t="s">
        <v>35</v>
      </c>
      <c r="Q136" s="45" t="s">
        <v>137</v>
      </c>
      <c r="R136" s="65" t="s">
        <v>158</v>
      </c>
      <c r="S136" s="207">
        <v>141002</v>
      </c>
    </row>
    <row r="137" spans="2:19" ht="43.5" hidden="1" customHeight="1">
      <c r="D137" s="20">
        <v>400</v>
      </c>
      <c r="F137" s="20"/>
      <c r="G137" s="100">
        <f t="shared" si="16"/>
        <v>13800000</v>
      </c>
      <c r="H137" s="1">
        <v>400</v>
      </c>
      <c r="I137" s="40">
        <f t="shared" si="18"/>
        <v>13800000</v>
      </c>
      <c r="J137" s="49">
        <f t="shared" si="19"/>
        <v>400</v>
      </c>
      <c r="K137" s="6"/>
      <c r="L137" s="6"/>
      <c r="M137" s="100">
        <f t="shared" si="17"/>
        <v>0</v>
      </c>
      <c r="N137" s="4"/>
      <c r="O137" s="22">
        <v>34500</v>
      </c>
      <c r="P137" s="6" t="s">
        <v>35</v>
      </c>
      <c r="Q137" s="45" t="s">
        <v>253</v>
      </c>
      <c r="R137" s="65" t="s">
        <v>158</v>
      </c>
      <c r="S137" s="34" t="s">
        <v>251</v>
      </c>
    </row>
    <row r="138" spans="2:19" ht="43.5" hidden="1" customHeight="1">
      <c r="D138" s="20">
        <v>600</v>
      </c>
      <c r="F138" s="20"/>
      <c r="G138" s="100">
        <f t="shared" si="16"/>
        <v>17160000</v>
      </c>
      <c r="H138" s="1">
        <v>600</v>
      </c>
      <c r="I138" s="40">
        <f t="shared" si="18"/>
        <v>17160000</v>
      </c>
      <c r="J138" s="49">
        <f t="shared" si="19"/>
        <v>600</v>
      </c>
      <c r="K138" s="6"/>
      <c r="L138" s="6"/>
      <c r="M138" s="100">
        <f t="shared" si="17"/>
        <v>0</v>
      </c>
      <c r="N138" s="4"/>
      <c r="O138" s="22">
        <v>28600</v>
      </c>
      <c r="P138" s="6" t="s">
        <v>35</v>
      </c>
      <c r="Q138" s="45" t="s">
        <v>254</v>
      </c>
      <c r="R138" s="65" t="s">
        <v>158</v>
      </c>
      <c r="S138" s="34" t="s">
        <v>252</v>
      </c>
    </row>
    <row r="139" spans="2:19" ht="32.25" hidden="1" customHeight="1">
      <c r="B139" s="259" t="s">
        <v>276</v>
      </c>
      <c r="D139" s="20">
        <v>92520</v>
      </c>
      <c r="F139" s="20"/>
      <c r="G139" s="100">
        <f t="shared" si="16"/>
        <v>99048600</v>
      </c>
      <c r="H139" s="1">
        <f>92520+9*950</f>
        <v>101070</v>
      </c>
      <c r="I139" s="40">
        <f t="shared" si="18"/>
        <v>-34988940</v>
      </c>
      <c r="J139" s="49">
        <f t="shared" si="19"/>
        <v>-35703</v>
      </c>
      <c r="K139" s="6"/>
      <c r="L139" s="6"/>
      <c r="M139" s="100">
        <f t="shared" si="17"/>
        <v>134037540</v>
      </c>
      <c r="N139" s="4">
        <v>136773</v>
      </c>
      <c r="O139" s="104">
        <v>980</v>
      </c>
      <c r="P139" s="4" t="s">
        <v>44</v>
      </c>
      <c r="Q139" s="45" t="s">
        <v>68</v>
      </c>
      <c r="R139" s="65" t="s">
        <v>158</v>
      </c>
      <c r="S139" s="207">
        <v>141901</v>
      </c>
    </row>
    <row r="140" spans="2:19" ht="32.25" hidden="1" customHeight="1">
      <c r="B140" s="259" t="s">
        <v>277</v>
      </c>
      <c r="D140" s="20">
        <v>205600</v>
      </c>
      <c r="F140" s="20"/>
      <c r="G140" s="100">
        <f t="shared" si="16"/>
        <v>201017000</v>
      </c>
      <c r="H140" s="1">
        <f>205600+20*950</f>
        <v>224600</v>
      </c>
      <c r="I140" s="40">
        <f t="shared" si="18"/>
        <v>-71009300</v>
      </c>
      <c r="J140" s="49">
        <f t="shared" si="19"/>
        <v>-79340</v>
      </c>
      <c r="K140" s="6"/>
      <c r="L140" s="6"/>
      <c r="M140" s="100">
        <f t="shared" si="17"/>
        <v>272026300</v>
      </c>
      <c r="N140" s="4">
        <v>303940</v>
      </c>
      <c r="O140" s="22">
        <v>895</v>
      </c>
      <c r="P140" s="4" t="s">
        <v>44</v>
      </c>
      <c r="Q140" s="45" t="s">
        <v>242</v>
      </c>
      <c r="R140" s="65" t="s">
        <v>158</v>
      </c>
      <c r="S140" s="207">
        <v>141902</v>
      </c>
    </row>
    <row r="141" spans="2:19" ht="32.25" hidden="1" customHeight="1">
      <c r="B141" s="259" t="s">
        <v>278</v>
      </c>
      <c r="D141" s="57">
        <v>102800</v>
      </c>
      <c r="F141" s="57"/>
      <c r="G141" s="100">
        <f t="shared" si="16"/>
        <v>80294500</v>
      </c>
      <c r="H141" s="224">
        <f>102800+10*950</f>
        <v>112300</v>
      </c>
      <c r="I141" s="40">
        <f t="shared" si="18"/>
        <v>-28364050</v>
      </c>
      <c r="J141" s="49">
        <f t="shared" si="19"/>
        <v>-39670</v>
      </c>
      <c r="K141" s="7"/>
      <c r="L141" s="7"/>
      <c r="M141" s="100">
        <f t="shared" si="17"/>
        <v>108658550</v>
      </c>
      <c r="N141" s="59">
        <v>151970</v>
      </c>
      <c r="O141" s="60">
        <v>715</v>
      </c>
      <c r="P141" s="4" t="s">
        <v>44</v>
      </c>
      <c r="Q141" s="247" t="s">
        <v>241</v>
      </c>
      <c r="R141" s="65" t="s">
        <v>158</v>
      </c>
      <c r="S141" s="248" t="s">
        <v>240</v>
      </c>
    </row>
    <row r="142" spans="2:19" ht="29.25" hidden="1" customHeight="1" thickBot="1">
      <c r="D142" s="21"/>
      <c r="F142" s="21"/>
      <c r="G142" s="397">
        <f>SUM(G131:G141)</f>
        <v>1016764100</v>
      </c>
      <c r="H142" s="398"/>
      <c r="I142" s="432">
        <f>SUM(I131:I141)</f>
        <v>-607339290</v>
      </c>
      <c r="J142" s="432"/>
      <c r="K142" s="433">
        <f>SUM(K131:K140)</f>
        <v>0</v>
      </c>
      <c r="L142" s="433"/>
      <c r="M142" s="400">
        <f>SUM(M131:M141)</f>
        <v>1624103390</v>
      </c>
      <c r="N142" s="400"/>
      <c r="O142" s="400"/>
      <c r="P142" s="400"/>
      <c r="Q142" s="170" t="s">
        <v>13</v>
      </c>
      <c r="R142" s="68"/>
      <c r="S142" s="217"/>
    </row>
    <row r="143" spans="2:19" ht="49.5" hidden="1" customHeight="1">
      <c r="D143" s="13"/>
      <c r="F143" s="13"/>
      <c r="G143" s="99"/>
      <c r="H143" s="11"/>
      <c r="I143" s="54"/>
      <c r="J143" s="54"/>
      <c r="K143" s="87"/>
      <c r="L143" s="87"/>
      <c r="M143" s="99"/>
      <c r="N143" s="37"/>
      <c r="O143" s="37"/>
      <c r="P143" s="37"/>
      <c r="Q143" s="88"/>
      <c r="R143" s="88"/>
      <c r="S143" s="218"/>
    </row>
    <row r="144" spans="2:19" ht="49.5" hidden="1" customHeight="1" thickBot="1">
      <c r="D144" s="13"/>
      <c r="F144" s="13"/>
      <c r="G144" s="99"/>
      <c r="H144" s="11"/>
      <c r="I144" s="54"/>
      <c r="J144" s="54"/>
      <c r="K144" s="87"/>
      <c r="L144" s="87"/>
      <c r="M144" s="99"/>
      <c r="N144" s="37"/>
      <c r="O144" s="37"/>
      <c r="P144" s="37"/>
      <c r="Q144" s="88"/>
      <c r="R144" s="88"/>
      <c r="S144" s="218"/>
    </row>
    <row r="145" spans="2:19" ht="25.5" hidden="1" customHeight="1">
      <c r="D145" s="77"/>
      <c r="F145" s="173"/>
      <c r="G145" s="382" t="s">
        <v>300</v>
      </c>
      <c r="H145" s="382"/>
      <c r="I145" s="382" t="s">
        <v>145</v>
      </c>
      <c r="J145" s="382"/>
      <c r="K145" s="78"/>
      <c r="L145" s="78"/>
      <c r="M145" s="199"/>
      <c r="N145" s="78"/>
      <c r="O145" s="79"/>
      <c r="P145" s="78"/>
      <c r="Q145" s="80" t="s">
        <v>171</v>
      </c>
      <c r="R145" s="41"/>
      <c r="S145" s="219"/>
    </row>
    <row r="146" spans="2:19" ht="25.5" hidden="1" customHeight="1">
      <c r="D146" s="81"/>
      <c r="F146" s="174"/>
      <c r="G146" s="96"/>
      <c r="H146" s="82"/>
      <c r="I146" s="83"/>
      <c r="J146" s="143" t="s">
        <v>146</v>
      </c>
      <c r="K146" s="144"/>
      <c r="L146" s="144"/>
      <c r="M146" s="200"/>
      <c r="N146" s="144"/>
      <c r="O146" s="135"/>
      <c r="P146" s="144"/>
      <c r="Q146" s="84" t="s">
        <v>292</v>
      </c>
      <c r="R146" s="56"/>
      <c r="S146" s="175"/>
    </row>
    <row r="147" spans="2:19" ht="25.5" hidden="1" customHeight="1" thickBot="1">
      <c r="D147" s="85"/>
      <c r="F147" s="85"/>
      <c r="G147" s="145"/>
      <c r="H147" s="136"/>
      <c r="I147" s="146"/>
      <c r="J147" s="146"/>
      <c r="K147" s="136"/>
      <c r="L147" s="136"/>
      <c r="M147" s="202" t="s">
        <v>183</v>
      </c>
      <c r="N147" s="136"/>
      <c r="O147" s="136"/>
      <c r="P147" s="136"/>
      <c r="Q147" s="86" t="s">
        <v>210</v>
      </c>
      <c r="R147" s="42"/>
      <c r="S147" s="205"/>
    </row>
    <row r="148" spans="2:19" ht="34.5" hidden="1" customHeight="1">
      <c r="C148" s="3" t="s">
        <v>291</v>
      </c>
      <c r="D148" s="20"/>
      <c r="F148" s="20"/>
      <c r="G148" s="100">
        <f>H148*O148</f>
        <v>6300000</v>
      </c>
      <c r="H148" s="1">
        <v>700</v>
      </c>
      <c r="I148" s="40">
        <f>J148*O148</f>
        <v>6300000</v>
      </c>
      <c r="J148" s="49">
        <f>H148-N148</f>
        <v>700</v>
      </c>
      <c r="K148" s="4"/>
      <c r="L148" s="4"/>
      <c r="M148" s="191"/>
      <c r="N148" s="4"/>
      <c r="O148" s="22">
        <v>9000</v>
      </c>
      <c r="P148" s="4" t="s">
        <v>36</v>
      </c>
      <c r="Q148" s="4" t="s">
        <v>98</v>
      </c>
      <c r="R148" s="64" t="s">
        <v>158</v>
      </c>
      <c r="S148" s="32" t="s">
        <v>97</v>
      </c>
    </row>
    <row r="149" spans="2:19" ht="34.5" hidden="1" customHeight="1">
      <c r="D149" s="20"/>
      <c r="F149" s="20"/>
      <c r="G149" s="100"/>
      <c r="H149" s="1"/>
      <c r="I149" s="40">
        <f>J149*O149</f>
        <v>0</v>
      </c>
      <c r="J149" s="49">
        <f>H149-N149</f>
        <v>0</v>
      </c>
      <c r="K149" s="4"/>
      <c r="L149" s="4"/>
      <c r="M149" s="191"/>
      <c r="N149" s="4"/>
      <c r="O149" s="22">
        <v>43200</v>
      </c>
      <c r="P149" s="4" t="s">
        <v>36</v>
      </c>
      <c r="Q149" s="4" t="s">
        <v>106</v>
      </c>
      <c r="R149" s="64" t="s">
        <v>158</v>
      </c>
      <c r="S149" s="32" t="s">
        <v>105</v>
      </c>
    </row>
    <row r="150" spans="2:19" s="171" customFormat="1" ht="34.5" hidden="1" customHeight="1" thickBot="1">
      <c r="B150" s="260"/>
      <c r="C150" s="263"/>
      <c r="D150" s="131"/>
      <c r="F150" s="131"/>
      <c r="G150" s="397">
        <f>SUM(G148:G149)</f>
        <v>6300000</v>
      </c>
      <c r="H150" s="398"/>
      <c r="I150" s="399">
        <f>SUM(I148:I149)</f>
        <v>6300000</v>
      </c>
      <c r="J150" s="399"/>
      <c r="K150" s="411">
        <f>SUM(K148:K149)</f>
        <v>0</v>
      </c>
      <c r="L150" s="411"/>
      <c r="M150" s="411">
        <f>SUM(M148:M149)</f>
        <v>0</v>
      </c>
      <c r="N150" s="411"/>
      <c r="O150" s="133"/>
      <c r="P150" s="132"/>
      <c r="Q150" s="134" t="s">
        <v>60</v>
      </c>
      <c r="R150" s="172"/>
      <c r="S150" s="217"/>
    </row>
    <row r="151" spans="2:19" ht="32.25" hidden="1" customHeight="1">
      <c r="D151" s="177"/>
      <c r="F151" s="177"/>
      <c r="G151" s="103"/>
      <c r="H151" s="75"/>
      <c r="I151" s="40">
        <f>J151*O151</f>
        <v>0</v>
      </c>
      <c r="J151" s="49">
        <f>H151-N151</f>
        <v>0</v>
      </c>
      <c r="K151" s="75"/>
      <c r="L151" s="75"/>
      <c r="M151" s="191"/>
      <c r="N151" s="75"/>
      <c r="O151" s="90">
        <v>40700</v>
      </c>
      <c r="P151" s="4" t="s">
        <v>125</v>
      </c>
      <c r="Q151" s="71" t="s">
        <v>168</v>
      </c>
      <c r="R151" s="72" t="s">
        <v>158</v>
      </c>
      <c r="S151" s="214">
        <v>190103</v>
      </c>
    </row>
    <row r="152" spans="2:19" ht="32.25" hidden="1" customHeight="1">
      <c r="D152" s="177">
        <v>4369.33</v>
      </c>
      <c r="F152" s="177"/>
      <c r="G152" s="103">
        <f>H152*O152</f>
        <v>27087800</v>
      </c>
      <c r="H152" s="75">
        <v>4369</v>
      </c>
      <c r="I152" s="40">
        <f>J152*O152</f>
        <v>27087800</v>
      </c>
      <c r="J152" s="49">
        <f>H152-N152</f>
        <v>4369</v>
      </c>
      <c r="K152" s="75"/>
      <c r="L152" s="75"/>
      <c r="M152" s="191"/>
      <c r="N152" s="75"/>
      <c r="O152" s="90">
        <v>6200</v>
      </c>
      <c r="P152" s="4" t="s">
        <v>125</v>
      </c>
      <c r="Q152" s="71" t="s">
        <v>256</v>
      </c>
      <c r="R152" s="72" t="s">
        <v>158</v>
      </c>
      <c r="S152" s="212" t="s">
        <v>255</v>
      </c>
    </row>
    <row r="153" spans="2:19" ht="32.25" hidden="1" customHeight="1">
      <c r="B153" s="259">
        <v>450</v>
      </c>
      <c r="C153" s="3">
        <v>300</v>
      </c>
      <c r="D153" s="5">
        <v>348.75</v>
      </c>
      <c r="F153" s="5"/>
      <c r="G153" s="103">
        <f>H153*O153</f>
        <v>61048800</v>
      </c>
      <c r="H153" s="1">
        <f>348+300+450</f>
        <v>1098</v>
      </c>
      <c r="I153" s="40">
        <f>J153*O153</f>
        <v>61048800</v>
      </c>
      <c r="J153" s="49">
        <f>H153-N153</f>
        <v>1098</v>
      </c>
      <c r="K153" s="4"/>
      <c r="L153" s="4"/>
      <c r="M153" s="191"/>
      <c r="N153" s="4"/>
      <c r="O153" s="22">
        <v>55600</v>
      </c>
      <c r="P153" s="4" t="s">
        <v>108</v>
      </c>
      <c r="Q153" s="46" t="s">
        <v>150</v>
      </c>
      <c r="R153" s="72" t="s">
        <v>158</v>
      </c>
      <c r="S153" s="32" t="s">
        <v>149</v>
      </c>
    </row>
    <row r="154" spans="2:19" ht="32.25" hidden="1" customHeight="1">
      <c r="D154" s="57"/>
      <c r="F154" s="57"/>
      <c r="G154" s="103">
        <f>H154*O154</f>
        <v>10680000</v>
      </c>
      <c r="H154" s="1">
        <v>120</v>
      </c>
      <c r="I154" s="40">
        <f>J154*O154</f>
        <v>-7120000</v>
      </c>
      <c r="J154" s="49">
        <f>H154-N154</f>
        <v>-80</v>
      </c>
      <c r="K154" s="59"/>
      <c r="L154" s="59"/>
      <c r="M154" s="191">
        <f>N154*O154</f>
        <v>17800000</v>
      </c>
      <c r="N154" s="59">
        <v>200</v>
      </c>
      <c r="O154" s="60">
        <v>89000</v>
      </c>
      <c r="P154" s="59" t="s">
        <v>64</v>
      </c>
      <c r="Q154" s="247" t="s">
        <v>244</v>
      </c>
      <c r="R154" s="72" t="s">
        <v>159</v>
      </c>
      <c r="S154" s="76" t="s">
        <v>243</v>
      </c>
    </row>
    <row r="155" spans="2:19" s="178" customFormat="1" ht="32.25" hidden="1" customHeight="1" thickBot="1">
      <c r="B155" s="261"/>
      <c r="C155" s="264"/>
      <c r="D155" s="179"/>
      <c r="F155" s="179"/>
      <c r="G155" s="407">
        <f>SUM(G151:G154)</f>
        <v>98816600</v>
      </c>
      <c r="H155" s="408"/>
      <c r="I155" s="403">
        <f>SUM(I151:I154)</f>
        <v>81016600</v>
      </c>
      <c r="J155" s="403"/>
      <c r="K155" s="434" t="e">
        <f>SUM(#REF!)</f>
        <v>#REF!</v>
      </c>
      <c r="L155" s="434"/>
      <c r="M155" s="434">
        <f>SUM(M151:M154)</f>
        <v>17800000</v>
      </c>
      <c r="N155" s="434"/>
      <c r="O155" s="182"/>
      <c r="P155" s="181"/>
      <c r="Q155" s="183" t="s">
        <v>107</v>
      </c>
      <c r="R155" s="184"/>
      <c r="S155" s="221"/>
    </row>
    <row r="156" spans="2:19" ht="25.5" hidden="1" customHeight="1" thickBot="1">
      <c r="D156" s="85"/>
      <c r="F156" s="85"/>
      <c r="G156" s="145"/>
      <c r="H156" s="136"/>
      <c r="I156" s="146"/>
      <c r="J156" s="146"/>
      <c r="K156" s="136"/>
      <c r="L156" s="136"/>
      <c r="M156" s="202" t="s">
        <v>183</v>
      </c>
      <c r="N156" s="136"/>
      <c r="O156" s="136"/>
      <c r="P156" s="136"/>
      <c r="Q156" s="86" t="s">
        <v>211</v>
      </c>
      <c r="R156" s="42"/>
      <c r="S156" s="205"/>
    </row>
    <row r="157" spans="2:19" ht="33" hidden="1" customHeight="1">
      <c r="B157" s="265">
        <f>(C104+B104)*0.25*45</f>
        <v>34233.75</v>
      </c>
      <c r="D157" s="20">
        <v>32089.8</v>
      </c>
      <c r="F157" s="20"/>
      <c r="G157" s="100">
        <f>H157*O157</f>
        <v>24207530</v>
      </c>
      <c r="H157" s="1">
        <f>32089+34233</f>
        <v>66322</v>
      </c>
      <c r="I157" s="40">
        <f>J157*O157</f>
        <v>11620870</v>
      </c>
      <c r="J157" s="49">
        <f>H157-N157</f>
        <v>31838</v>
      </c>
      <c r="K157" s="4"/>
      <c r="L157" s="4"/>
      <c r="M157" s="191">
        <f>N157*O157</f>
        <v>12586660</v>
      </c>
      <c r="N157" s="4">
        <v>34484</v>
      </c>
      <c r="O157" s="22">
        <v>365</v>
      </c>
      <c r="P157" s="4" t="s">
        <v>59</v>
      </c>
      <c r="Q157" s="4" t="s">
        <v>56</v>
      </c>
      <c r="R157" s="64" t="s">
        <v>158</v>
      </c>
      <c r="S157" s="207" t="s">
        <v>53</v>
      </c>
    </row>
    <row r="158" spans="2:19" ht="33" hidden="1" customHeight="1">
      <c r="B158" s="265">
        <f>(C104+B104)*0.25*75</f>
        <v>57056.25</v>
      </c>
      <c r="D158" s="20">
        <v>27643.439999999999</v>
      </c>
      <c r="F158" s="20"/>
      <c r="G158" s="100">
        <f>H158*O158</f>
        <v>20751255</v>
      </c>
      <c r="H158" s="1">
        <f>27643+57056</f>
        <v>84699</v>
      </c>
      <c r="I158" s="40">
        <f>J158*O158</f>
        <v>13560995</v>
      </c>
      <c r="J158" s="49">
        <f>H158-N158</f>
        <v>55351</v>
      </c>
      <c r="K158" s="4"/>
      <c r="L158" s="4"/>
      <c r="M158" s="191">
        <f>N158*O158</f>
        <v>7190260</v>
      </c>
      <c r="N158" s="4">
        <v>29348</v>
      </c>
      <c r="O158" s="22">
        <v>245</v>
      </c>
      <c r="P158" s="4" t="s">
        <v>59</v>
      </c>
      <c r="Q158" s="4" t="s">
        <v>57</v>
      </c>
      <c r="R158" s="64" t="s">
        <v>158</v>
      </c>
      <c r="S158" s="207" t="s">
        <v>54</v>
      </c>
    </row>
    <row r="159" spans="2:19" ht="33" hidden="1" customHeight="1">
      <c r="B159" s="265">
        <f>(C104+B104)*0.25*150</f>
        <v>114112.5</v>
      </c>
      <c r="D159" s="20">
        <v>10067.700000000001</v>
      </c>
      <c r="F159" s="20"/>
      <c r="G159" s="100">
        <f>H159*O159</f>
        <v>1560385</v>
      </c>
      <c r="H159" s="1">
        <v>10067</v>
      </c>
      <c r="I159" s="40">
        <f>J159*O159</f>
        <v>91295</v>
      </c>
      <c r="J159" s="49">
        <f>H159-N159</f>
        <v>589</v>
      </c>
      <c r="K159" s="4"/>
      <c r="L159" s="4"/>
      <c r="M159" s="191">
        <f>N159*O159</f>
        <v>1469090</v>
      </c>
      <c r="N159" s="4">
        <v>9478</v>
      </c>
      <c r="O159" s="22">
        <v>155</v>
      </c>
      <c r="P159" s="4" t="s">
        <v>59</v>
      </c>
      <c r="Q159" s="4" t="s">
        <v>58</v>
      </c>
      <c r="R159" s="64" t="s">
        <v>158</v>
      </c>
      <c r="S159" s="207" t="s">
        <v>55</v>
      </c>
    </row>
    <row r="160" spans="2:19" ht="33" hidden="1" customHeight="1">
      <c r="B160" s="265"/>
      <c r="D160" s="20">
        <v>10067.700000000001</v>
      </c>
      <c r="F160" s="20"/>
      <c r="G160" s="100">
        <f>H160*O160</f>
        <v>1258375</v>
      </c>
      <c r="H160" s="1">
        <v>10067</v>
      </c>
      <c r="I160" s="40">
        <f>J160*O160</f>
        <v>73625</v>
      </c>
      <c r="J160" s="49">
        <f>H160-N160</f>
        <v>589</v>
      </c>
      <c r="K160" s="4"/>
      <c r="L160" s="4"/>
      <c r="M160" s="191">
        <f>N160*O160</f>
        <v>1184750</v>
      </c>
      <c r="N160" s="4">
        <v>9478</v>
      </c>
      <c r="O160" s="22">
        <v>125</v>
      </c>
      <c r="P160" s="4" t="s">
        <v>59</v>
      </c>
      <c r="Q160" s="4" t="s">
        <v>113</v>
      </c>
      <c r="R160" s="64" t="s">
        <v>158</v>
      </c>
      <c r="S160" s="207" t="s">
        <v>112</v>
      </c>
    </row>
    <row r="161" spans="2:28" ht="33" hidden="1" customHeight="1">
      <c r="B161" s="265"/>
      <c r="D161" s="20">
        <v>3355.9</v>
      </c>
      <c r="F161" s="20"/>
      <c r="G161" s="100">
        <f>H161*O161</f>
        <v>369050</v>
      </c>
      <c r="H161" s="1">
        <v>3355</v>
      </c>
      <c r="I161" s="40">
        <f>J161*O161</f>
        <v>21560</v>
      </c>
      <c r="J161" s="49">
        <f>H161-N161</f>
        <v>196</v>
      </c>
      <c r="K161" s="4"/>
      <c r="L161" s="4"/>
      <c r="M161" s="191">
        <f>N161*O161</f>
        <v>347490</v>
      </c>
      <c r="N161" s="4">
        <v>3159</v>
      </c>
      <c r="O161" s="22">
        <v>110</v>
      </c>
      <c r="P161" s="4" t="s">
        <v>59</v>
      </c>
      <c r="Q161" s="4" t="s">
        <v>127</v>
      </c>
      <c r="R161" s="64" t="s">
        <v>158</v>
      </c>
      <c r="S161" s="207" t="s">
        <v>126</v>
      </c>
    </row>
    <row r="162" spans="2:28" s="178" customFormat="1" ht="33" hidden="1" customHeight="1" thickBot="1">
      <c r="B162" s="261"/>
      <c r="C162" s="264"/>
      <c r="D162" s="179"/>
      <c r="F162" s="179"/>
      <c r="G162" s="407">
        <f>SUM(G157:G161)</f>
        <v>48146595</v>
      </c>
      <c r="H162" s="408"/>
      <c r="I162" s="403">
        <f>SUM(I157:I161)</f>
        <v>25368345</v>
      </c>
      <c r="J162" s="403"/>
      <c r="K162" s="434">
        <f>SUM(K157:K161)</f>
        <v>0</v>
      </c>
      <c r="L162" s="434"/>
      <c r="M162" s="434">
        <f>SUM(M157:M161)</f>
        <v>22778250</v>
      </c>
      <c r="N162" s="434"/>
      <c r="O162" s="182"/>
      <c r="P162" s="181"/>
      <c r="Q162" s="181" t="s">
        <v>14</v>
      </c>
      <c r="R162" s="180"/>
      <c r="S162" s="221"/>
    </row>
    <row r="163" spans="2:28" ht="49.5" hidden="1" customHeight="1"/>
    <row r="164" spans="2:28" ht="49.5" hidden="1" customHeight="1"/>
    <row r="165" spans="2:28" ht="49.5" hidden="1" customHeight="1"/>
    <row r="166" spans="2:28" ht="49.5" hidden="1" customHeight="1">
      <c r="T166" s="3"/>
      <c r="U166" s="3"/>
      <c r="V166" s="3"/>
      <c r="W166" s="3"/>
      <c r="X166" s="3"/>
      <c r="Y166" s="3"/>
      <c r="Z166" s="14"/>
      <c r="AA166" s="14"/>
      <c r="AB166" s="12"/>
    </row>
    <row r="167" spans="2:28" ht="49.5" hidden="1" customHeight="1">
      <c r="T167" s="3"/>
      <c r="U167" s="3"/>
      <c r="V167" s="3"/>
      <c r="W167" s="3"/>
      <c r="X167" s="3"/>
      <c r="Y167" s="3"/>
      <c r="Z167" s="14"/>
      <c r="AA167" s="14"/>
      <c r="AB167" s="12"/>
    </row>
    <row r="168" spans="2:28" ht="49.5" hidden="1" customHeight="1">
      <c r="T168" s="3"/>
      <c r="U168" s="3"/>
      <c r="V168" s="3"/>
      <c r="W168" s="3"/>
      <c r="X168" s="3"/>
      <c r="Y168" s="3"/>
      <c r="Z168" s="14"/>
      <c r="AA168" s="14"/>
      <c r="AB168" s="12"/>
    </row>
    <row r="169" spans="2:28" ht="49.5" hidden="1" customHeight="1">
      <c r="T169" s="3"/>
      <c r="U169" s="3"/>
      <c r="V169" s="3"/>
      <c r="W169" s="3"/>
      <c r="X169" s="3"/>
      <c r="Y169" s="3"/>
      <c r="Z169" s="14"/>
      <c r="AA169" s="14"/>
      <c r="AB169" s="12"/>
    </row>
    <row r="170" spans="2:28" ht="49.5" hidden="1" customHeight="1">
      <c r="D170" s="25"/>
      <c r="F170" s="25"/>
      <c r="T170" s="3"/>
      <c r="U170" s="3"/>
      <c r="V170" s="3"/>
      <c r="W170" s="3"/>
      <c r="X170" s="3"/>
      <c r="Y170" s="3"/>
      <c r="Z170" s="14"/>
      <c r="AA170" s="14"/>
      <c r="AB170" s="12"/>
    </row>
    <row r="171" spans="2:28" ht="49.5" hidden="1" customHeight="1">
      <c r="T171" s="3"/>
      <c r="U171" s="3"/>
      <c r="V171" s="3"/>
      <c r="W171" s="3"/>
      <c r="X171" s="3"/>
      <c r="Y171" s="3"/>
      <c r="Z171" s="14"/>
      <c r="AA171" s="14"/>
      <c r="AB171" s="12"/>
    </row>
    <row r="172" spans="2:28" ht="49.5" hidden="1" customHeight="1">
      <c r="D172" s="26"/>
      <c r="F172" s="26"/>
      <c r="T172" s="3"/>
      <c r="U172" s="3"/>
      <c r="V172" s="3"/>
      <c r="W172" s="3"/>
      <c r="X172" s="3"/>
      <c r="Y172" s="3"/>
      <c r="Z172" s="14"/>
      <c r="AA172" s="14"/>
      <c r="AB172" s="12"/>
    </row>
    <row r="173" spans="2:28" ht="49.5" hidden="1" customHeight="1">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D176" s="16">
        <v>1.25</v>
      </c>
      <c r="F176" s="16">
        <v>1.25</v>
      </c>
      <c r="I176" s="33" t="s">
        <v>69</v>
      </c>
      <c r="J176" s="33" t="s">
        <v>67</v>
      </c>
      <c r="T176" s="3"/>
      <c r="U176" s="3"/>
      <c r="V176" s="3"/>
      <c r="W176" s="3"/>
      <c r="X176" s="3"/>
      <c r="Y176" s="3"/>
      <c r="Z176" s="14"/>
      <c r="AA176" s="14"/>
      <c r="AB176" s="12"/>
    </row>
    <row r="177" spans="4:28" ht="49.5" hidden="1" customHeight="1">
      <c r="D177" s="16" t="e">
        <f>G162+#REF!+#REF!+G150+#REF!+G142+#REF!+G119+G95+#REF!+G90+G78+#REF!+G34+G11+#REF!</f>
        <v>#REF!</v>
      </c>
      <c r="F177" s="16" t="e">
        <f>I162+#REF!+#REF!+I150+#REF!+I142+#REF!+I119+I95+#REF!+I90+I78+#REF!+I34+I11+#REF!</f>
        <v>#REF!</v>
      </c>
      <c r="I177" s="53" t="e">
        <f>K162+#REF!+#REF!+K150+#REF!+K142+#REF!+K119+K95+#REF!+K90+K78+#REF!+K34+K11+#REF!</f>
        <v>#REF!</v>
      </c>
      <c r="J177" s="33" t="e">
        <f>M162+#REF!+#REF!+M150+#REF!+#REF!+M119+M95+#REF!+M90+M78+M34+#REF!+M11+M142+#REF!</f>
        <v>#REF!</v>
      </c>
      <c r="T177" s="3"/>
      <c r="U177" s="3"/>
      <c r="V177" s="3"/>
      <c r="W177" s="3"/>
      <c r="X177" s="3"/>
      <c r="Y177" s="3"/>
      <c r="Z177" s="14"/>
      <c r="AA177" s="14"/>
      <c r="AB177" s="12"/>
    </row>
    <row r="178" spans="4:28" ht="49.5" customHeight="1">
      <c r="T178" s="3"/>
      <c r="U178" s="3"/>
      <c r="V178" s="3"/>
      <c r="W178" s="3"/>
      <c r="X178" s="3"/>
      <c r="Y178" s="3"/>
      <c r="Z178" s="14"/>
      <c r="AA178" s="14"/>
      <c r="AB178" s="12"/>
    </row>
    <row r="179" spans="4:28" ht="49.5" customHeight="1">
      <c r="T179" s="3"/>
      <c r="U179" s="3"/>
      <c r="V179" s="3"/>
      <c r="W179" s="3"/>
      <c r="X179" s="3"/>
      <c r="Y179" s="3"/>
      <c r="Z179" s="14"/>
      <c r="AA179" s="14"/>
      <c r="AB179" s="12"/>
    </row>
    <row r="180" spans="4:28" ht="49.5" customHeight="1">
      <c r="T180" s="3"/>
      <c r="U180" s="3"/>
      <c r="V180" s="3"/>
      <c r="W180" s="3"/>
      <c r="X180" s="3"/>
      <c r="Y180" s="3"/>
      <c r="Z180" s="14"/>
      <c r="AA180" s="14"/>
      <c r="AB180" s="12"/>
    </row>
    <row r="181" spans="4:28" ht="49.5" customHeight="1">
      <c r="T181" s="3"/>
      <c r="U181" s="3"/>
      <c r="V181" s="3"/>
      <c r="W181" s="3"/>
      <c r="X181" s="3"/>
      <c r="Y181" s="3"/>
      <c r="Z181" s="14"/>
      <c r="AA181" s="14"/>
      <c r="AB181" s="12"/>
    </row>
    <row r="182" spans="4:28" ht="49.5" customHeight="1">
      <c r="T182" s="3"/>
      <c r="U182" s="3"/>
      <c r="V182" s="3"/>
      <c r="W182" s="3"/>
      <c r="X182" s="3"/>
      <c r="Y182" s="3"/>
      <c r="Z182" s="14"/>
      <c r="AA182" s="14"/>
      <c r="AB182" s="12"/>
    </row>
    <row r="183" spans="4:28" ht="49.5" customHeight="1">
      <c r="Z183" s="12"/>
      <c r="AA183" s="12"/>
      <c r="AB183" s="12"/>
    </row>
    <row r="184" spans="4:28" ht="49.5" customHeight="1">
      <c r="Z184" s="12"/>
      <c r="AA184" s="12"/>
      <c r="AB184" s="12"/>
    </row>
    <row r="185" spans="4:28" ht="49.5" customHeight="1">
      <c r="Z185" s="12"/>
      <c r="AA185" s="12"/>
      <c r="AB185" s="12"/>
    </row>
    <row r="186" spans="4:28" ht="49.5" customHeight="1">
      <c r="Z186" s="12"/>
      <c r="AA186" s="12"/>
      <c r="AB186" s="12"/>
    </row>
    <row r="187" spans="4:28" ht="49.5" customHeight="1">
      <c r="Z187" s="12"/>
      <c r="AA187" s="12"/>
      <c r="AB187" s="12"/>
    </row>
    <row r="188" spans="4:28" ht="49.5" customHeight="1">
      <c r="Z188" s="12"/>
      <c r="AA188" s="12"/>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sheetData>
  <mergeCells count="129">
    <mergeCell ref="G1:H1"/>
    <mergeCell ref="I1:J1"/>
    <mergeCell ref="D3:D4"/>
    <mergeCell ref="F3:F4"/>
    <mergeCell ref="G3:H3"/>
    <mergeCell ref="I3:J3"/>
    <mergeCell ref="K3:L3"/>
    <mergeCell ref="M3:N3"/>
    <mergeCell ref="O3:O4"/>
    <mergeCell ref="P3:P4"/>
    <mergeCell ref="Q3:Q4"/>
    <mergeCell ref="S3:S4"/>
    <mergeCell ref="I11:J11"/>
    <mergeCell ref="K11:L11"/>
    <mergeCell ref="M11:N11"/>
    <mergeCell ref="G13:H13"/>
    <mergeCell ref="I13:J13"/>
    <mergeCell ref="D16:D17"/>
    <mergeCell ref="F16:F17"/>
    <mergeCell ref="G16:H16"/>
    <mergeCell ref="I16:J16"/>
    <mergeCell ref="K16:L16"/>
    <mergeCell ref="M16:N16"/>
    <mergeCell ref="O16:O17"/>
    <mergeCell ref="P16:P17"/>
    <mergeCell ref="Q16:Q17"/>
    <mergeCell ref="S16:S17"/>
    <mergeCell ref="G34:H34"/>
    <mergeCell ref="I34:J34"/>
    <mergeCell ref="K34:L34"/>
    <mergeCell ref="M34:N34"/>
    <mergeCell ref="G36:H36"/>
    <mergeCell ref="I36:J36"/>
    <mergeCell ref="G54:H54"/>
    <mergeCell ref="I54:J54"/>
    <mergeCell ref="K54:L54"/>
    <mergeCell ref="M54:N54"/>
    <mergeCell ref="G56:H56"/>
    <mergeCell ref="I56:J56"/>
    <mergeCell ref="D59:D60"/>
    <mergeCell ref="F59:F60"/>
    <mergeCell ref="G59:H59"/>
    <mergeCell ref="I59:J59"/>
    <mergeCell ref="K59:L59"/>
    <mergeCell ref="M59:N59"/>
    <mergeCell ref="O59:O60"/>
    <mergeCell ref="P59:P60"/>
    <mergeCell ref="Q59:Q60"/>
    <mergeCell ref="S59:S60"/>
    <mergeCell ref="G65:H65"/>
    <mergeCell ref="I65:J65"/>
    <mergeCell ref="M65:N65"/>
    <mergeCell ref="G78:H78"/>
    <mergeCell ref="I78:J78"/>
    <mergeCell ref="K78:L78"/>
    <mergeCell ref="M78:N78"/>
    <mergeCell ref="G80:H80"/>
    <mergeCell ref="I80:J80"/>
    <mergeCell ref="D83:D84"/>
    <mergeCell ref="F83:F84"/>
    <mergeCell ref="G83:H83"/>
    <mergeCell ref="I83:J83"/>
    <mergeCell ref="K83:L83"/>
    <mergeCell ref="M83:N83"/>
    <mergeCell ref="O83:O84"/>
    <mergeCell ref="P83:P84"/>
    <mergeCell ref="Q83:Q84"/>
    <mergeCell ref="S83:S84"/>
    <mergeCell ref="G90:H90"/>
    <mergeCell ref="I90:J90"/>
    <mergeCell ref="K90:L90"/>
    <mergeCell ref="M90:N90"/>
    <mergeCell ref="O90:P90"/>
    <mergeCell ref="G95:H95"/>
    <mergeCell ref="I95:J95"/>
    <mergeCell ref="K95:L95"/>
    <mergeCell ref="M95:N95"/>
    <mergeCell ref="G97:H97"/>
    <mergeCell ref="I97:J97"/>
    <mergeCell ref="D100:D101"/>
    <mergeCell ref="F100:F101"/>
    <mergeCell ref="G100:H100"/>
    <mergeCell ref="I100:J100"/>
    <mergeCell ref="K100:L100"/>
    <mergeCell ref="M100:N100"/>
    <mergeCell ref="O100:O101"/>
    <mergeCell ref="P100:P101"/>
    <mergeCell ref="Q100:Q101"/>
    <mergeCell ref="S100:S101"/>
    <mergeCell ref="G119:H119"/>
    <mergeCell ref="I119:J119"/>
    <mergeCell ref="K119:L119"/>
    <mergeCell ref="M119:N119"/>
    <mergeCell ref="G121:H121"/>
    <mergeCell ref="I121:J121"/>
    <mergeCell ref="S124:S125"/>
    <mergeCell ref="G129:H129"/>
    <mergeCell ref="I129:J129"/>
    <mergeCell ref="K129:L129"/>
    <mergeCell ref="M129:N129"/>
    <mergeCell ref="D124:D125"/>
    <mergeCell ref="F124:F125"/>
    <mergeCell ref="G124:H124"/>
    <mergeCell ref="I124:J124"/>
    <mergeCell ref="K124:L124"/>
    <mergeCell ref="P1:Q1"/>
    <mergeCell ref="G162:H162"/>
    <mergeCell ref="I162:J162"/>
    <mergeCell ref="K162:L162"/>
    <mergeCell ref="M162:N162"/>
    <mergeCell ref="G150:H150"/>
    <mergeCell ref="I150:J150"/>
    <mergeCell ref="K150:L150"/>
    <mergeCell ref="M150:N150"/>
    <mergeCell ref="G155:H155"/>
    <mergeCell ref="I155:J155"/>
    <mergeCell ref="O142:P142"/>
    <mergeCell ref="G145:H145"/>
    <mergeCell ref="I145:J145"/>
    <mergeCell ref="O124:O125"/>
    <mergeCell ref="P124:P125"/>
    <mergeCell ref="Q124:Q125"/>
    <mergeCell ref="M124:N124"/>
    <mergeCell ref="K155:L155"/>
    <mergeCell ref="M155:N155"/>
    <mergeCell ref="G142:H142"/>
    <mergeCell ref="I142:J142"/>
    <mergeCell ref="K142:L142"/>
    <mergeCell ref="M142:N142"/>
  </mergeCells>
  <printOptions horizontalCentered="1"/>
  <pageMargins left="0" right="0" top="0.78740157480314965" bottom="0.98425196850393704" header="0.39370078740157483" footer="0.59055118110236227"/>
  <pageSetup paperSize="9" scale="89"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8"/>
  <sheetViews>
    <sheetView view="pageBreakPreview" topLeftCell="F1" zoomScaleNormal="90" zoomScaleSheetLayoutView="100" workbookViewId="0">
      <selection activeCell="I5" sqref="I5"/>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21.7109375" style="16" customWidth="1"/>
    <col min="7" max="7" width="14.85546875" style="95" customWidth="1"/>
    <col min="8" max="8" width="11.140625" style="16" customWidth="1"/>
    <col min="9" max="9" width="13.140625" style="33" customWidth="1"/>
    <col min="10" max="10" width="8.85546875"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9" t="s">
        <v>142</v>
      </c>
      <c r="K4" s="357" t="s">
        <v>4</v>
      </c>
      <c r="L4" s="357" t="s">
        <v>3</v>
      </c>
      <c r="M4" s="100" t="s">
        <v>141</v>
      </c>
      <c r="N4" s="357" t="s">
        <v>140</v>
      </c>
      <c r="O4" s="429"/>
      <c r="P4" s="388"/>
      <c r="Q4" s="388"/>
      <c r="R4" s="2"/>
      <c r="S4" s="421"/>
    </row>
    <row r="5" spans="2:19" ht="39" customHeight="1" thickBot="1">
      <c r="D5" s="85"/>
      <c r="F5" s="343"/>
      <c r="G5" s="366"/>
      <c r="H5" s="342"/>
      <c r="I5" s="367"/>
      <c r="J5" s="367"/>
      <c r="K5" s="342"/>
      <c r="L5" s="342"/>
      <c r="M5" s="366" t="s">
        <v>381</v>
      </c>
      <c r="N5" s="342"/>
      <c r="O5" s="342"/>
      <c r="P5" s="342"/>
      <c r="Q5" s="368" t="s">
        <v>424</v>
      </c>
      <c r="R5" s="369"/>
      <c r="S5" s="370"/>
    </row>
    <row r="6" spans="2:19" ht="23.25" customHeight="1">
      <c r="D6" s="342"/>
      <c r="F6" s="259"/>
      <c r="G6" s="269"/>
      <c r="H6" s="269">
        <f>I6</f>
        <v>3502555</v>
      </c>
      <c r="I6" s="269">
        <f>J6*O6</f>
        <v>3502555</v>
      </c>
      <c r="J6" s="259">
        <v>30.59</v>
      </c>
      <c r="K6" s="357"/>
      <c r="L6" s="98"/>
      <c r="M6" s="49">
        <v>0</v>
      </c>
      <c r="N6" s="40">
        <v>0</v>
      </c>
      <c r="O6" s="49">
        <v>114500</v>
      </c>
      <c r="P6" s="6" t="s">
        <v>82</v>
      </c>
      <c r="Q6" s="28" t="s">
        <v>486</v>
      </c>
      <c r="R6" s="269" t="s">
        <v>158</v>
      </c>
      <c r="S6" s="6" t="s">
        <v>485</v>
      </c>
    </row>
    <row r="7" spans="2:19" ht="33" customHeight="1">
      <c r="B7" s="259" t="s">
        <v>264</v>
      </c>
      <c r="C7" s="3" t="s">
        <v>279</v>
      </c>
      <c r="D7" s="35">
        <v>521.12</v>
      </c>
      <c r="F7" s="357"/>
      <c r="G7" s="269">
        <f>(N7-J7)*O7</f>
        <v>3819199.9999999995</v>
      </c>
      <c r="H7" s="269"/>
      <c r="I7" s="269">
        <f>J7*O7</f>
        <v>0</v>
      </c>
      <c r="J7" s="49">
        <v>0</v>
      </c>
      <c r="K7" s="6"/>
      <c r="L7" s="28"/>
      <c r="M7" s="269">
        <f>N7*O7</f>
        <v>3819199.9999999995</v>
      </c>
      <c r="N7" s="6">
        <v>22.4</v>
      </c>
      <c r="O7" s="359">
        <v>170500</v>
      </c>
      <c r="P7" s="6" t="s">
        <v>82</v>
      </c>
      <c r="Q7" s="6" t="s">
        <v>487</v>
      </c>
      <c r="R7" s="6" t="s">
        <v>158</v>
      </c>
      <c r="S7" s="372" t="s">
        <v>425</v>
      </c>
    </row>
    <row r="8" spans="2:19" ht="33" customHeight="1">
      <c r="B8" s="259">
        <v>500</v>
      </c>
      <c r="D8" s="35"/>
      <c r="F8" s="35"/>
      <c r="G8" s="98"/>
      <c r="H8" s="49"/>
      <c r="I8" s="40"/>
      <c r="J8" s="49"/>
      <c r="K8" s="6"/>
      <c r="L8" s="28"/>
      <c r="M8" s="269"/>
      <c r="N8" s="6"/>
      <c r="O8" s="22"/>
      <c r="P8" s="6"/>
      <c r="Q8" s="6"/>
      <c r="R8" s="63"/>
      <c r="S8" s="34"/>
    </row>
    <row r="9" spans="2:19" ht="33" customHeight="1">
      <c r="B9" s="259">
        <v>300</v>
      </c>
      <c r="D9" s="20"/>
      <c r="F9" s="20"/>
      <c r="G9" s="98"/>
      <c r="H9" s="49"/>
      <c r="I9" s="40"/>
      <c r="J9" s="49"/>
      <c r="K9" s="6"/>
      <c r="L9" s="28"/>
      <c r="M9" s="269"/>
      <c r="N9" s="6"/>
      <c r="O9" s="22"/>
      <c r="P9" s="6"/>
      <c r="Q9" s="6"/>
      <c r="R9" s="63"/>
      <c r="S9" s="34"/>
    </row>
    <row r="10" spans="2:19" ht="33" customHeight="1">
      <c r="B10" s="259">
        <v>1050</v>
      </c>
      <c r="D10" s="20">
        <v>521.12</v>
      </c>
      <c r="F10" s="20"/>
      <c r="G10" s="98"/>
      <c r="H10" s="49"/>
      <c r="I10" s="40"/>
      <c r="J10" s="49"/>
      <c r="K10" s="6"/>
      <c r="L10" s="6"/>
      <c r="M10" s="191"/>
      <c r="N10" s="6"/>
      <c r="O10" s="22"/>
      <c r="P10" s="6"/>
      <c r="Q10" s="6"/>
      <c r="R10" s="63"/>
      <c r="S10" s="34"/>
    </row>
    <row r="11" spans="2:19" ht="33" customHeight="1">
      <c r="B11" s="259" t="s">
        <v>257</v>
      </c>
      <c r="C11" s="3" t="s">
        <v>280</v>
      </c>
      <c r="D11" s="20">
        <v>496.94</v>
      </c>
      <c r="F11" s="20"/>
      <c r="G11" s="98"/>
      <c r="H11" s="49"/>
      <c r="I11" s="40"/>
      <c r="J11" s="49"/>
      <c r="K11" s="6"/>
      <c r="L11" s="6"/>
      <c r="M11" s="191"/>
      <c r="N11" s="6"/>
      <c r="O11" s="22"/>
      <c r="P11" s="6"/>
      <c r="Q11" s="4"/>
      <c r="R11" s="63"/>
      <c r="S11" s="36"/>
    </row>
    <row r="12" spans="2:19" ht="33" customHeight="1">
      <c r="D12" s="20"/>
      <c r="F12" s="20"/>
      <c r="G12" s="98"/>
      <c r="H12" s="49"/>
      <c r="I12" s="40"/>
      <c r="J12" s="49"/>
      <c r="K12" s="6"/>
      <c r="L12" s="6"/>
      <c r="M12" s="191"/>
      <c r="N12" s="6"/>
      <c r="O12" s="22"/>
      <c r="P12" s="6"/>
      <c r="Q12" s="4"/>
      <c r="R12" s="63"/>
      <c r="S12" s="36"/>
    </row>
    <row r="13" spans="2:19" ht="49.5" customHeight="1" thickBot="1">
      <c r="D13" s="116"/>
      <c r="F13" s="116"/>
      <c r="G13" s="337">
        <f>SUM(G7:G12)</f>
        <v>3819199.9999999995</v>
      </c>
      <c r="H13" s="337">
        <f>SUM(H6:H12)</f>
        <v>3502555</v>
      </c>
      <c r="I13" s="402">
        <f>SUM(I6:I12)</f>
        <v>3502555</v>
      </c>
      <c r="J13" s="402"/>
      <c r="K13" s="400">
        <f>SUM(K7:K10)</f>
        <v>0</v>
      </c>
      <c r="L13" s="400"/>
      <c r="M13" s="400">
        <f>SUM(M7:M12)</f>
        <v>3819199.9999999995</v>
      </c>
      <c r="N13" s="400"/>
      <c r="O13" s="39"/>
      <c r="P13" s="115"/>
      <c r="Q13" s="115" t="s">
        <v>199</v>
      </c>
      <c r="R13" s="8"/>
      <c r="S13" s="206"/>
    </row>
    <row r="14" spans="2:19" ht="49.5" customHeight="1">
      <c r="D14" s="13"/>
      <c r="F14" s="13"/>
      <c r="G14" s="99"/>
      <c r="H14" s="37"/>
      <c r="I14" s="50"/>
      <c r="J14" s="50"/>
      <c r="K14" s="37"/>
      <c r="L14" s="37"/>
      <c r="M14" s="99"/>
      <c r="N14" s="37"/>
      <c r="O14" s="24"/>
      <c r="P14" s="9"/>
      <c r="Q14" s="9"/>
      <c r="R14" s="9"/>
      <c r="S14" s="208"/>
    </row>
    <row r="15" spans="2:19" ht="23.25" hidden="1" customHeight="1">
      <c r="D15" s="77"/>
      <c r="F15" s="173"/>
      <c r="G15" s="382" t="s">
        <v>300</v>
      </c>
      <c r="H15" s="382"/>
      <c r="I15" s="382" t="s">
        <v>145</v>
      </c>
      <c r="J15" s="382"/>
      <c r="K15" s="78"/>
      <c r="L15" s="78"/>
      <c r="M15" s="199"/>
      <c r="N15" s="78"/>
      <c r="O15" s="79"/>
      <c r="P15" s="78"/>
      <c r="Q15" s="80" t="s">
        <v>171</v>
      </c>
      <c r="R15" s="41"/>
      <c r="S15" s="219"/>
    </row>
    <row r="16" spans="2:19" ht="23.25" hidden="1" customHeight="1">
      <c r="D16" s="81"/>
      <c r="F16" s="174"/>
      <c r="G16" s="96"/>
      <c r="H16" s="82"/>
      <c r="I16" s="83"/>
      <c r="J16" s="143" t="s">
        <v>146</v>
      </c>
      <c r="K16" s="144"/>
      <c r="L16" s="144"/>
      <c r="M16" s="200"/>
      <c r="N16" s="144"/>
      <c r="O16" s="135"/>
      <c r="P16" s="144"/>
      <c r="Q16" s="84" t="s">
        <v>292</v>
      </c>
      <c r="R16" s="56"/>
      <c r="S16" s="175"/>
    </row>
    <row r="17" spans="2:20" ht="23.25" hidden="1" customHeight="1" thickBot="1">
      <c r="D17" s="85"/>
      <c r="F17" s="85"/>
      <c r="G17" s="145"/>
      <c r="H17" s="136"/>
      <c r="I17" s="146"/>
      <c r="J17" s="146"/>
      <c r="K17" s="136"/>
      <c r="L17" s="136"/>
      <c r="M17" s="145" t="s">
        <v>183</v>
      </c>
      <c r="N17" s="136"/>
      <c r="O17" s="136"/>
      <c r="P17" s="136"/>
      <c r="Q17" s="86" t="s">
        <v>184</v>
      </c>
      <c r="R17" s="42"/>
      <c r="S17" s="205"/>
    </row>
    <row r="18" spans="2:20" ht="25.5" hidden="1" customHeight="1">
      <c r="D18" s="385" t="s">
        <v>144</v>
      </c>
      <c r="F18" s="385" t="s">
        <v>144</v>
      </c>
      <c r="G18" s="406" t="s">
        <v>63</v>
      </c>
      <c r="H18" s="406"/>
      <c r="I18" s="409" t="s">
        <v>170</v>
      </c>
      <c r="J18" s="409"/>
      <c r="K18" s="401" t="s">
        <v>2</v>
      </c>
      <c r="L18" s="401"/>
      <c r="M18" s="401" t="s">
        <v>220</v>
      </c>
      <c r="N18" s="401"/>
      <c r="O18" s="426" t="s">
        <v>139</v>
      </c>
      <c r="P18" s="401" t="s">
        <v>1</v>
      </c>
      <c r="Q18" s="401" t="s">
        <v>138</v>
      </c>
      <c r="R18" s="62"/>
      <c r="S18" s="424" t="s">
        <v>0</v>
      </c>
    </row>
    <row r="19" spans="2:20" ht="25.5" hidden="1" customHeight="1">
      <c r="D19" s="386"/>
      <c r="F19" s="386"/>
      <c r="G19" s="97" t="s">
        <v>143</v>
      </c>
      <c r="H19" s="49" t="s">
        <v>142</v>
      </c>
      <c r="I19" s="49" t="s">
        <v>143</v>
      </c>
      <c r="J19" s="49" t="s">
        <v>142</v>
      </c>
      <c r="K19" s="1" t="s">
        <v>4</v>
      </c>
      <c r="L19" s="1" t="s">
        <v>3</v>
      </c>
      <c r="M19" s="100" t="s">
        <v>141</v>
      </c>
      <c r="N19" s="1" t="s">
        <v>140</v>
      </c>
      <c r="O19" s="427"/>
      <c r="P19" s="422"/>
      <c r="Q19" s="422"/>
      <c r="R19" s="2"/>
      <c r="S19" s="425"/>
    </row>
    <row r="20" spans="2:20" ht="30.75" hidden="1" customHeight="1">
      <c r="D20" s="111">
        <v>10848.34</v>
      </c>
      <c r="E20" s="109"/>
      <c r="F20" s="111"/>
      <c r="G20" s="100">
        <f t="shared" ref="G20:G35" si="0">H20*O20</f>
        <v>29289600</v>
      </c>
      <c r="H20" s="1">
        <v>10848</v>
      </c>
      <c r="I20" s="40">
        <f>J20*O20</f>
        <v>-9036900</v>
      </c>
      <c r="J20" s="49">
        <f>H20-N20</f>
        <v>-3347</v>
      </c>
      <c r="K20" s="6"/>
      <c r="L20" s="4"/>
      <c r="M20" s="191">
        <f t="shared" ref="M20:M35" si="1">N20*O20</f>
        <v>38326500</v>
      </c>
      <c r="N20" s="4">
        <v>14195</v>
      </c>
      <c r="O20" s="22">
        <v>2700</v>
      </c>
      <c r="P20" s="6" t="s">
        <v>35</v>
      </c>
      <c r="Q20" s="45" t="s">
        <v>152</v>
      </c>
      <c r="R20" s="63" t="s">
        <v>158</v>
      </c>
      <c r="S20" s="38" t="s">
        <v>71</v>
      </c>
      <c r="T20" s="30"/>
    </row>
    <row r="21" spans="2:20" ht="30.75" hidden="1" customHeight="1">
      <c r="D21" s="110">
        <v>1205.3599999999999</v>
      </c>
      <c r="E21" s="109"/>
      <c r="F21" s="110"/>
      <c r="G21" s="100">
        <f t="shared" si="0"/>
        <v>18195500</v>
      </c>
      <c r="H21" s="1">
        <v>1205</v>
      </c>
      <c r="I21" s="40">
        <f t="shared" ref="I21:I35" si="2">J21*O21</f>
        <v>18195500</v>
      </c>
      <c r="J21" s="49">
        <f t="shared" ref="J21:J34" si="3">H21-N21</f>
        <v>1205</v>
      </c>
      <c r="K21" s="6"/>
      <c r="L21" s="4"/>
      <c r="M21" s="191">
        <f t="shared" si="1"/>
        <v>0</v>
      </c>
      <c r="N21" s="4"/>
      <c r="O21" s="22">
        <v>15100</v>
      </c>
      <c r="P21" s="6" t="s">
        <v>35</v>
      </c>
      <c r="Q21" s="45" t="s">
        <v>73</v>
      </c>
      <c r="R21" s="63" t="s">
        <v>158</v>
      </c>
      <c r="S21" s="38" t="s">
        <v>72</v>
      </c>
      <c r="T21" s="30"/>
    </row>
    <row r="22" spans="2:20" ht="30.75" hidden="1" customHeight="1">
      <c r="B22" s="259">
        <v>1500</v>
      </c>
      <c r="D22" s="110">
        <v>1250</v>
      </c>
      <c r="E22" s="109"/>
      <c r="F22" s="110"/>
      <c r="G22" s="100">
        <f t="shared" si="0"/>
        <v>42900000</v>
      </c>
      <c r="H22" s="1">
        <f>1250+1500</f>
        <v>2750</v>
      </c>
      <c r="I22" s="40">
        <f t="shared" si="2"/>
        <v>42900000</v>
      </c>
      <c r="J22" s="49">
        <f t="shared" si="3"/>
        <v>2750</v>
      </c>
      <c r="K22" s="6"/>
      <c r="L22" s="4"/>
      <c r="M22" s="191">
        <f t="shared" si="1"/>
        <v>0</v>
      </c>
      <c r="N22" s="4"/>
      <c r="O22" s="22">
        <v>15600</v>
      </c>
      <c r="P22" s="6" t="s">
        <v>35</v>
      </c>
      <c r="Q22" s="45" t="s">
        <v>246</v>
      </c>
      <c r="R22" s="63" t="s">
        <v>158</v>
      </c>
      <c r="S22" s="38" t="s">
        <v>245</v>
      </c>
      <c r="T22" s="30"/>
    </row>
    <row r="23" spans="2:20" ht="30.75" hidden="1" customHeight="1">
      <c r="B23" s="259" t="s">
        <v>265</v>
      </c>
      <c r="C23" s="3" t="s">
        <v>281</v>
      </c>
      <c r="D23" s="110">
        <v>942</v>
      </c>
      <c r="E23" s="109"/>
      <c r="F23" s="110"/>
      <c r="G23" s="100">
        <f t="shared" si="0"/>
        <v>10413420</v>
      </c>
      <c r="H23" s="1">
        <f>942+1000*0.4+420</f>
        <v>1762</v>
      </c>
      <c r="I23" s="40">
        <f t="shared" si="2"/>
        <v>2139420</v>
      </c>
      <c r="J23" s="49">
        <f t="shared" si="3"/>
        <v>362</v>
      </c>
      <c r="K23" s="6"/>
      <c r="L23" s="4"/>
      <c r="M23" s="191">
        <f t="shared" si="1"/>
        <v>8274000</v>
      </c>
      <c r="N23" s="4">
        <v>1400</v>
      </c>
      <c r="O23" s="22">
        <v>5910</v>
      </c>
      <c r="P23" s="6" t="s">
        <v>35</v>
      </c>
      <c r="Q23" s="45" t="s">
        <v>75</v>
      </c>
      <c r="R23" s="63" t="s">
        <v>158</v>
      </c>
      <c r="S23" s="38" t="s">
        <v>74</v>
      </c>
      <c r="T23" s="30"/>
    </row>
    <row r="24" spans="2:20" ht="30.75" hidden="1" customHeight="1">
      <c r="B24" s="259" t="s">
        <v>266</v>
      </c>
      <c r="D24" s="110">
        <v>1152.5999999999999</v>
      </c>
      <c r="E24" s="109"/>
      <c r="F24" s="110"/>
      <c r="G24" s="100">
        <f t="shared" si="0"/>
        <v>40759200</v>
      </c>
      <c r="H24" s="1">
        <f>1152+2520</f>
        <v>3672</v>
      </c>
      <c r="I24" s="40">
        <f t="shared" si="2"/>
        <v>40759200</v>
      </c>
      <c r="J24" s="49">
        <f t="shared" si="3"/>
        <v>3672</v>
      </c>
      <c r="K24" s="6"/>
      <c r="L24" s="4"/>
      <c r="M24" s="191"/>
      <c r="N24" s="4"/>
      <c r="O24" s="22">
        <v>11100</v>
      </c>
      <c r="P24" s="6" t="s">
        <v>35</v>
      </c>
      <c r="Q24" s="45" t="s">
        <v>248</v>
      </c>
      <c r="R24" s="63" t="s">
        <v>158</v>
      </c>
      <c r="S24" s="38" t="s">
        <v>247</v>
      </c>
      <c r="T24" s="30"/>
    </row>
    <row r="25" spans="2:20" ht="30.75" hidden="1" customHeight="1">
      <c r="C25" s="3" t="s">
        <v>282</v>
      </c>
      <c r="D25" s="110">
        <v>1017.33</v>
      </c>
      <c r="E25" s="109"/>
      <c r="F25" s="110"/>
      <c r="G25" s="100">
        <f t="shared" si="0"/>
        <v>97239700</v>
      </c>
      <c r="H25" s="1">
        <f>1017+1000*0.5</f>
        <v>1517</v>
      </c>
      <c r="I25" s="40">
        <f t="shared" si="2"/>
        <v>-5320300</v>
      </c>
      <c r="J25" s="49">
        <f t="shared" si="3"/>
        <v>-83</v>
      </c>
      <c r="K25" s="6"/>
      <c r="L25" s="4"/>
      <c r="M25" s="191">
        <f t="shared" si="1"/>
        <v>102560000</v>
      </c>
      <c r="N25" s="4">
        <v>1600</v>
      </c>
      <c r="O25" s="22">
        <v>64100</v>
      </c>
      <c r="P25" s="6" t="s">
        <v>35</v>
      </c>
      <c r="Q25" s="45" t="s">
        <v>77</v>
      </c>
      <c r="R25" s="63" t="s">
        <v>158</v>
      </c>
      <c r="S25" s="38" t="s">
        <v>76</v>
      </c>
      <c r="T25" s="30"/>
    </row>
    <row r="26" spans="2:20" ht="30.75" hidden="1" customHeight="1">
      <c r="B26" s="259">
        <v>800</v>
      </c>
      <c r="D26" s="110"/>
      <c r="E26" s="109"/>
      <c r="F26" s="110"/>
      <c r="G26" s="100">
        <f t="shared" si="0"/>
        <v>740000</v>
      </c>
      <c r="H26" s="1">
        <v>800</v>
      </c>
      <c r="I26" s="40">
        <f t="shared" si="2"/>
        <v>740000</v>
      </c>
      <c r="J26" s="49">
        <f t="shared" si="3"/>
        <v>800</v>
      </c>
      <c r="K26" s="6"/>
      <c r="L26" s="4"/>
      <c r="M26" s="191">
        <f t="shared" si="1"/>
        <v>0</v>
      </c>
      <c r="N26" s="4"/>
      <c r="O26" s="22">
        <v>925</v>
      </c>
      <c r="P26" s="6" t="s">
        <v>35</v>
      </c>
      <c r="Q26" s="45" t="s">
        <v>80</v>
      </c>
      <c r="R26" s="63" t="s">
        <v>158</v>
      </c>
      <c r="S26" s="38" t="s">
        <v>78</v>
      </c>
      <c r="T26" s="30"/>
    </row>
    <row r="27" spans="2:20" ht="30.75" hidden="1" customHeight="1">
      <c r="D27" s="110"/>
      <c r="E27" s="109"/>
      <c r="F27" s="110"/>
      <c r="G27" s="100">
        <f t="shared" si="0"/>
        <v>2280000</v>
      </c>
      <c r="H27" s="1">
        <v>300</v>
      </c>
      <c r="I27" s="40">
        <f t="shared" si="2"/>
        <v>2280000</v>
      </c>
      <c r="J27" s="49">
        <f t="shared" si="3"/>
        <v>300</v>
      </c>
      <c r="K27" s="6"/>
      <c r="L27" s="4"/>
      <c r="M27" s="191">
        <f t="shared" si="1"/>
        <v>0</v>
      </c>
      <c r="N27" s="4"/>
      <c r="O27" s="22">
        <v>7600</v>
      </c>
      <c r="P27" s="6" t="s">
        <v>35</v>
      </c>
      <c r="Q27" s="45" t="s">
        <v>81</v>
      </c>
      <c r="R27" s="63" t="s">
        <v>158</v>
      </c>
      <c r="S27" s="38" t="s">
        <v>79</v>
      </c>
      <c r="T27" s="30"/>
    </row>
    <row r="28" spans="2:20" ht="30.75" hidden="1" customHeight="1">
      <c r="B28" s="259">
        <v>4200</v>
      </c>
      <c r="C28" s="3">
        <v>1000</v>
      </c>
      <c r="D28" s="110">
        <v>16823.82</v>
      </c>
      <c r="E28" s="109"/>
      <c r="F28" s="110"/>
      <c r="G28" s="100">
        <f t="shared" si="0"/>
        <v>66509460</v>
      </c>
      <c r="H28" s="203">
        <f>16823+1000+4200</f>
        <v>22023</v>
      </c>
      <c r="I28" s="40">
        <f t="shared" si="2"/>
        <v>57449460</v>
      </c>
      <c r="J28" s="49">
        <f t="shared" si="3"/>
        <v>19023</v>
      </c>
      <c r="K28" s="6"/>
      <c r="L28" s="4"/>
      <c r="M28" s="191">
        <f t="shared" si="1"/>
        <v>9060000</v>
      </c>
      <c r="N28" s="4">
        <v>3000</v>
      </c>
      <c r="O28" s="22">
        <v>3020</v>
      </c>
      <c r="P28" s="6" t="s">
        <v>35</v>
      </c>
      <c r="Q28" s="46" t="s">
        <v>41</v>
      </c>
      <c r="R28" s="63" t="s">
        <v>158</v>
      </c>
      <c r="S28" s="31" t="s">
        <v>37</v>
      </c>
      <c r="T28" s="29"/>
    </row>
    <row r="29" spans="2:20" ht="30.75" hidden="1" customHeight="1">
      <c r="B29" s="259" t="s">
        <v>267</v>
      </c>
      <c r="C29" s="3" t="s">
        <v>283</v>
      </c>
      <c r="D29" s="110">
        <v>67702.559999999998</v>
      </c>
      <c r="E29" s="109"/>
      <c r="F29" s="110"/>
      <c r="G29" s="100">
        <f t="shared" si="0"/>
        <v>23453030</v>
      </c>
      <c r="H29" s="1">
        <f>67702+4*1000+4200*4</f>
        <v>88502</v>
      </c>
      <c r="I29" s="40">
        <f t="shared" si="2"/>
        <v>20273030</v>
      </c>
      <c r="J29" s="49">
        <f t="shared" si="3"/>
        <v>76502</v>
      </c>
      <c r="K29" s="6"/>
      <c r="L29" s="4"/>
      <c r="M29" s="191">
        <f t="shared" si="1"/>
        <v>3180000</v>
      </c>
      <c r="N29" s="4">
        <v>12000</v>
      </c>
      <c r="O29" s="22">
        <v>265</v>
      </c>
      <c r="P29" s="6" t="s">
        <v>35</v>
      </c>
      <c r="Q29" s="46" t="s">
        <v>42</v>
      </c>
      <c r="R29" s="63" t="s">
        <v>158</v>
      </c>
      <c r="S29" s="31" t="s">
        <v>38</v>
      </c>
      <c r="T29" s="29"/>
    </row>
    <row r="30" spans="2:20" ht="30.75" hidden="1" customHeight="1">
      <c r="B30" s="259" t="s">
        <v>268</v>
      </c>
      <c r="C30" s="3" t="s">
        <v>284</v>
      </c>
      <c r="D30" s="110">
        <v>161360.4</v>
      </c>
      <c r="E30" s="109"/>
      <c r="F30" s="110"/>
      <c r="G30" s="100">
        <f t="shared" si="0"/>
        <v>183612800</v>
      </c>
      <c r="H30" s="1">
        <f>161360+5*1000+4200*5</f>
        <v>187360</v>
      </c>
      <c r="I30" s="40">
        <f t="shared" si="2"/>
        <v>4466840</v>
      </c>
      <c r="J30" s="49">
        <f t="shared" si="3"/>
        <v>4558</v>
      </c>
      <c r="K30" s="6"/>
      <c r="L30" s="4"/>
      <c r="M30" s="191">
        <f t="shared" si="1"/>
        <v>179145960</v>
      </c>
      <c r="N30" s="4">
        <v>182802</v>
      </c>
      <c r="O30" s="22">
        <v>980</v>
      </c>
      <c r="P30" s="6" t="s">
        <v>44</v>
      </c>
      <c r="Q30" s="46" t="s">
        <v>222</v>
      </c>
      <c r="R30" s="63" t="s">
        <v>158</v>
      </c>
      <c r="S30" s="31" t="s">
        <v>39</v>
      </c>
      <c r="T30" s="29"/>
    </row>
    <row r="31" spans="2:20" ht="30.75" hidden="1" customHeight="1">
      <c r="D31" s="110">
        <v>103500</v>
      </c>
      <c r="E31" s="109"/>
      <c r="F31" s="110"/>
      <c r="G31" s="100">
        <f t="shared" si="0"/>
        <v>92632500</v>
      </c>
      <c r="H31" s="1">
        <v>103500</v>
      </c>
      <c r="I31" s="40">
        <f t="shared" si="2"/>
        <v>-10292500</v>
      </c>
      <c r="J31" s="49">
        <f t="shared" si="3"/>
        <v>-11500</v>
      </c>
      <c r="K31" s="6"/>
      <c r="L31" s="4"/>
      <c r="M31" s="191">
        <f t="shared" si="1"/>
        <v>102925000</v>
      </c>
      <c r="N31" s="4">
        <v>115000</v>
      </c>
      <c r="O31" s="22">
        <v>895</v>
      </c>
      <c r="P31" s="6" t="s">
        <v>44</v>
      </c>
      <c r="Q31" s="46" t="s">
        <v>223</v>
      </c>
      <c r="R31" s="63" t="s">
        <v>158</v>
      </c>
      <c r="S31" s="31" t="s">
        <v>221</v>
      </c>
      <c r="T31" s="29"/>
    </row>
    <row r="32" spans="2:20" ht="30.75" hidden="1" customHeight="1">
      <c r="B32" s="259" t="s">
        <v>269</v>
      </c>
      <c r="C32" s="3" t="s">
        <v>285</v>
      </c>
      <c r="D32" s="110">
        <v>8037.38</v>
      </c>
      <c r="E32" s="109"/>
      <c r="F32" s="110"/>
      <c r="G32" s="100">
        <f t="shared" si="0"/>
        <v>14662800</v>
      </c>
      <c r="H32" s="1">
        <f>8037+780*0.5*5+2232</f>
        <v>12219</v>
      </c>
      <c r="I32" s="40">
        <f t="shared" si="2"/>
        <v>14662800</v>
      </c>
      <c r="J32" s="49">
        <f t="shared" si="3"/>
        <v>12219</v>
      </c>
      <c r="K32" s="6"/>
      <c r="L32" s="4"/>
      <c r="M32" s="191">
        <f t="shared" si="1"/>
        <v>0</v>
      </c>
      <c r="N32" s="4"/>
      <c r="O32" s="105">
        <v>1200</v>
      </c>
      <c r="P32" s="10" t="s">
        <v>44</v>
      </c>
      <c r="Q32" s="47" t="s">
        <v>43</v>
      </c>
      <c r="R32" s="63" t="s">
        <v>158</v>
      </c>
      <c r="S32" s="31" t="s">
        <v>40</v>
      </c>
      <c r="T32" s="29"/>
    </row>
    <row r="33" spans="2:20" ht="30.75" hidden="1" customHeight="1">
      <c r="D33" s="110">
        <v>23833.7</v>
      </c>
      <c r="E33" s="109"/>
      <c r="F33" s="110"/>
      <c r="G33" s="100">
        <f t="shared" si="0"/>
        <v>412300000</v>
      </c>
      <c r="H33" s="1">
        <f>H35+H133</f>
        <v>11780</v>
      </c>
      <c r="I33" s="40">
        <f t="shared" si="2"/>
        <v>-791420000</v>
      </c>
      <c r="J33" s="49">
        <f t="shared" si="3"/>
        <v>-22612</v>
      </c>
      <c r="K33" s="6"/>
      <c r="L33" s="4"/>
      <c r="M33" s="192">
        <f t="shared" si="1"/>
        <v>1203720000</v>
      </c>
      <c r="N33" s="4">
        <v>34392</v>
      </c>
      <c r="O33" s="105">
        <v>35000</v>
      </c>
      <c r="P33" s="6" t="s">
        <v>35</v>
      </c>
      <c r="Q33" s="48" t="s">
        <v>225</v>
      </c>
      <c r="R33" s="63" t="s">
        <v>158</v>
      </c>
      <c r="S33" s="31" t="s">
        <v>224</v>
      </c>
      <c r="T33" s="29"/>
    </row>
    <row r="34" spans="2:20" ht="30.75" hidden="1" customHeight="1">
      <c r="D34" s="112"/>
      <c r="E34" s="109"/>
      <c r="F34" s="112"/>
      <c r="G34" s="100">
        <f t="shared" si="0"/>
        <v>2060000</v>
      </c>
      <c r="H34" s="1">
        <v>4000</v>
      </c>
      <c r="I34" s="40">
        <f t="shared" si="2"/>
        <v>2060000</v>
      </c>
      <c r="J34" s="49">
        <f t="shared" si="3"/>
        <v>4000</v>
      </c>
      <c r="K34" s="6"/>
      <c r="L34" s="4"/>
      <c r="M34" s="191">
        <f t="shared" si="1"/>
        <v>0</v>
      </c>
      <c r="N34" s="4"/>
      <c r="O34" s="105">
        <v>515</v>
      </c>
      <c r="P34" s="6" t="s">
        <v>35</v>
      </c>
      <c r="Q34" s="48" t="s">
        <v>154</v>
      </c>
      <c r="R34" s="63" t="s">
        <v>158</v>
      </c>
      <c r="S34" s="31" t="s">
        <v>153</v>
      </c>
      <c r="T34" s="29"/>
    </row>
    <row r="35" spans="2:20" ht="30.75" hidden="1" customHeight="1">
      <c r="D35" s="122">
        <v>4500</v>
      </c>
      <c r="E35" s="109"/>
      <c r="F35" s="122"/>
      <c r="G35" s="100">
        <f t="shared" si="0"/>
        <v>306000000</v>
      </c>
      <c r="H35" s="224">
        <v>4500</v>
      </c>
      <c r="I35" s="40">
        <f t="shared" si="2"/>
        <v>-34000000</v>
      </c>
      <c r="J35" s="49">
        <f>H35-N35</f>
        <v>-500</v>
      </c>
      <c r="K35" s="7"/>
      <c r="L35" s="59"/>
      <c r="M35" s="191">
        <f t="shared" si="1"/>
        <v>340000000</v>
      </c>
      <c r="N35" s="59">
        <v>5000</v>
      </c>
      <c r="O35" s="225">
        <v>68000</v>
      </c>
      <c r="P35" s="6" t="s">
        <v>35</v>
      </c>
      <c r="Q35" s="226" t="s">
        <v>227</v>
      </c>
      <c r="R35" s="63" t="s">
        <v>158</v>
      </c>
      <c r="S35" s="227" t="s">
        <v>226</v>
      </c>
      <c r="T35" s="29"/>
    </row>
    <row r="36" spans="2:20" ht="34.5" hidden="1" customHeight="1" thickBot="1">
      <c r="D36" s="118"/>
      <c r="E36" s="109"/>
      <c r="F36" s="118"/>
      <c r="G36" s="397">
        <f>SUM(G20:G35)</f>
        <v>1343048010</v>
      </c>
      <c r="H36" s="398"/>
      <c r="I36" s="402">
        <f>SUM(I20:I35)</f>
        <v>-644143450</v>
      </c>
      <c r="J36" s="402"/>
      <c r="K36" s="400">
        <f>SUM(K20:K34)</f>
        <v>0</v>
      </c>
      <c r="L36" s="400"/>
      <c r="M36" s="400">
        <f>SUM(M20:M35)</f>
        <v>1987191460</v>
      </c>
      <c r="N36" s="400"/>
      <c r="O36" s="119"/>
      <c r="P36" s="117"/>
      <c r="Q36" s="114" t="s">
        <v>5</v>
      </c>
      <c r="R36" s="8" t="s">
        <v>158</v>
      </c>
      <c r="S36" s="209"/>
      <c r="T36" s="29"/>
    </row>
    <row r="37" spans="2:20" ht="49.5" hidden="1" customHeight="1" thickBot="1">
      <c r="D37" s="13"/>
      <c r="F37" s="13"/>
      <c r="G37" s="101"/>
      <c r="H37" s="44"/>
      <c r="I37" s="51"/>
      <c r="J37" s="51"/>
      <c r="K37" s="44"/>
      <c r="L37" s="44"/>
      <c r="M37" s="101"/>
      <c r="N37" s="44"/>
      <c r="O37" s="106"/>
      <c r="P37" s="44"/>
      <c r="Q37" s="19"/>
      <c r="R37" s="70"/>
      <c r="S37" s="210"/>
      <c r="T37" s="29"/>
    </row>
    <row r="38" spans="2:20" ht="23.25" hidden="1" customHeight="1">
      <c r="D38" s="173"/>
      <c r="F38" s="173"/>
      <c r="G38" s="382" t="s">
        <v>300</v>
      </c>
      <c r="H38" s="382"/>
      <c r="I38" s="382" t="s">
        <v>145</v>
      </c>
      <c r="J38" s="382"/>
      <c r="K38" s="78"/>
      <c r="L38" s="78"/>
      <c r="M38" s="199"/>
      <c r="N38" s="78"/>
      <c r="O38" s="79"/>
      <c r="P38" s="78"/>
      <c r="Q38" s="80" t="s">
        <v>171</v>
      </c>
      <c r="R38" s="41"/>
      <c r="S38" s="219"/>
    </row>
    <row r="39" spans="2:20" ht="23.25" hidden="1" customHeight="1">
      <c r="D39" s="174"/>
      <c r="F39" s="174"/>
      <c r="G39" s="96"/>
      <c r="H39" s="82"/>
      <c r="I39" s="83"/>
      <c r="J39" s="143" t="s">
        <v>146</v>
      </c>
      <c r="K39" s="144"/>
      <c r="L39" s="144"/>
      <c r="M39" s="200"/>
      <c r="N39" s="144"/>
      <c r="O39" s="135"/>
      <c r="P39" s="144"/>
      <c r="Q39" s="84" t="s">
        <v>292</v>
      </c>
      <c r="R39" s="56"/>
      <c r="S39" s="175"/>
    </row>
    <row r="40" spans="2:20" ht="25.5" hidden="1" customHeight="1" thickBot="1">
      <c r="D40" s="176"/>
      <c r="F40" s="176"/>
      <c r="G40" s="145"/>
      <c r="H40" s="136"/>
      <c r="I40" s="146"/>
      <c r="J40" s="146"/>
      <c r="K40" s="136"/>
      <c r="L40" s="136"/>
      <c r="M40" s="145" t="s">
        <v>183</v>
      </c>
      <c r="N40" s="136"/>
      <c r="O40" s="136"/>
      <c r="P40" s="136"/>
      <c r="Q40" s="86" t="s">
        <v>185</v>
      </c>
      <c r="R40" s="42"/>
      <c r="S40" s="220"/>
    </row>
    <row r="41" spans="2:20" ht="25.5" hidden="1" customHeight="1">
      <c r="C41" s="3" t="s">
        <v>288</v>
      </c>
      <c r="D41" s="249">
        <v>462.4</v>
      </c>
      <c r="F41" s="249"/>
      <c r="G41" s="250">
        <f>H41*O41</f>
        <v>44737000</v>
      </c>
      <c r="H41" s="251">
        <f>462+100*7</f>
        <v>1162</v>
      </c>
      <c r="I41" s="40">
        <f>J41*O41</f>
        <v>42427000</v>
      </c>
      <c r="J41" s="268">
        <f>H41-N41</f>
        <v>1102</v>
      </c>
      <c r="K41" s="251"/>
      <c r="L41" s="251"/>
      <c r="M41" s="252">
        <f>N41*O41</f>
        <v>2310000</v>
      </c>
      <c r="N41" s="253">
        <v>60</v>
      </c>
      <c r="O41" s="254">
        <v>38500</v>
      </c>
      <c r="P41" s="255" t="s">
        <v>187</v>
      </c>
      <c r="Q41" s="256" t="s">
        <v>229</v>
      </c>
      <c r="R41" s="257"/>
      <c r="S41" s="258" t="s">
        <v>228</v>
      </c>
    </row>
    <row r="42" spans="2:20" ht="30.75" hidden="1" customHeight="1">
      <c r="B42" s="259">
        <v>1099</v>
      </c>
      <c r="D42" s="228">
        <v>900</v>
      </c>
      <c r="E42" s="109"/>
      <c r="F42" s="228"/>
      <c r="G42" s="100">
        <f t="shared" ref="G42:G55" si="4">H42*O42</f>
        <v>184307800</v>
      </c>
      <c r="H42" s="1">
        <f>900+1099</f>
        <v>1999</v>
      </c>
      <c r="I42" s="40">
        <f t="shared" ref="I42:I55" si="5">J42*O42</f>
        <v>168910400</v>
      </c>
      <c r="J42" s="49">
        <f t="shared" ref="J42:J55" si="6">H42-N42</f>
        <v>1832</v>
      </c>
      <c r="K42" s="1"/>
      <c r="L42" s="1"/>
      <c r="M42" s="242">
        <f t="shared" ref="M42:M55" si="7">N42*O42</f>
        <v>15397400</v>
      </c>
      <c r="N42" s="231">
        <v>167</v>
      </c>
      <c r="O42" s="232">
        <v>92200</v>
      </c>
      <c r="P42" s="229" t="s">
        <v>187</v>
      </c>
      <c r="Q42" s="230" t="s">
        <v>186</v>
      </c>
      <c r="R42" s="63"/>
      <c r="S42" s="34" t="s">
        <v>230</v>
      </c>
    </row>
    <row r="43" spans="2:20" ht="30.75" hidden="1" customHeight="1">
      <c r="D43" s="111"/>
      <c r="E43" s="109"/>
      <c r="F43" s="111"/>
      <c r="G43" s="100">
        <f t="shared" si="4"/>
        <v>0</v>
      </c>
      <c r="H43" s="1"/>
      <c r="I43" s="40">
        <f t="shared" si="5"/>
        <v>0</v>
      </c>
      <c r="J43" s="49">
        <f t="shared" si="6"/>
        <v>0</v>
      </c>
      <c r="K43" s="4"/>
      <c r="L43" s="4"/>
      <c r="M43" s="242">
        <f t="shared" si="7"/>
        <v>0</v>
      </c>
      <c r="N43" s="231"/>
      <c r="O43" s="233">
        <v>104000</v>
      </c>
      <c r="P43" s="152" t="s">
        <v>187</v>
      </c>
      <c r="Q43" s="123" t="s">
        <v>188</v>
      </c>
      <c r="R43" s="63" t="s">
        <v>158</v>
      </c>
      <c r="S43" s="38" t="s">
        <v>83</v>
      </c>
    </row>
    <row r="44" spans="2:20" ht="30.75" hidden="1" customHeight="1">
      <c r="D44" s="111"/>
      <c r="E44" s="109"/>
      <c r="F44" s="111"/>
      <c r="G44" s="100">
        <f t="shared" si="4"/>
        <v>0</v>
      </c>
      <c r="H44" s="1"/>
      <c r="I44" s="40">
        <f t="shared" si="5"/>
        <v>0</v>
      </c>
      <c r="J44" s="49">
        <f t="shared" si="6"/>
        <v>0</v>
      </c>
      <c r="K44" s="4"/>
      <c r="L44" s="4"/>
      <c r="M44" s="242">
        <f t="shared" si="7"/>
        <v>0</v>
      </c>
      <c r="N44" s="231"/>
      <c r="O44" s="234">
        <v>259500</v>
      </c>
      <c r="P44" s="153" t="s">
        <v>187</v>
      </c>
      <c r="Q44" s="124" t="s">
        <v>189</v>
      </c>
      <c r="R44" s="63" t="s">
        <v>158</v>
      </c>
      <c r="S44" s="38" t="s">
        <v>180</v>
      </c>
    </row>
    <row r="45" spans="2:20" ht="30.75" hidden="1" customHeight="1">
      <c r="B45" s="259">
        <v>2000</v>
      </c>
      <c r="D45" s="111">
        <v>1897.39</v>
      </c>
      <c r="E45" s="109"/>
      <c r="F45" s="111"/>
      <c r="G45" s="100">
        <f t="shared" si="4"/>
        <v>1077511000</v>
      </c>
      <c r="H45" s="1">
        <f>1897+2200</f>
        <v>4097</v>
      </c>
      <c r="I45" s="40">
        <f t="shared" si="5"/>
        <v>827398000</v>
      </c>
      <c r="J45" s="49">
        <f t="shared" si="6"/>
        <v>3146</v>
      </c>
      <c r="K45" s="4"/>
      <c r="L45" s="4"/>
      <c r="M45" s="242">
        <f t="shared" si="7"/>
        <v>250113000</v>
      </c>
      <c r="N45" s="231">
        <v>951</v>
      </c>
      <c r="O45" s="235">
        <v>263000</v>
      </c>
      <c r="P45" s="154" t="s">
        <v>187</v>
      </c>
      <c r="Q45" s="125" t="s">
        <v>190</v>
      </c>
      <c r="R45" s="63" t="s">
        <v>158</v>
      </c>
      <c r="S45" s="38" t="s">
        <v>172</v>
      </c>
    </row>
    <row r="46" spans="2:20" ht="30.75" hidden="1" customHeight="1">
      <c r="B46" s="259">
        <v>2000</v>
      </c>
      <c r="D46" s="111">
        <v>1860.03</v>
      </c>
      <c r="E46" s="109"/>
      <c r="F46" s="111"/>
      <c r="G46" s="100">
        <f t="shared" si="4"/>
        <v>220458000</v>
      </c>
      <c r="H46" s="1">
        <f>1860+2200</f>
        <v>4060</v>
      </c>
      <c r="I46" s="40">
        <f t="shared" si="5"/>
        <v>168818700</v>
      </c>
      <c r="J46" s="49">
        <f t="shared" si="6"/>
        <v>3109</v>
      </c>
      <c r="K46" s="4"/>
      <c r="L46" s="4"/>
      <c r="M46" s="242">
        <f t="shared" si="7"/>
        <v>51639300</v>
      </c>
      <c r="N46" s="231">
        <v>951</v>
      </c>
      <c r="O46" s="236">
        <v>54300</v>
      </c>
      <c r="P46" s="155" t="s">
        <v>187</v>
      </c>
      <c r="Q46" s="126" t="s">
        <v>191</v>
      </c>
      <c r="R46" s="63" t="s">
        <v>158</v>
      </c>
      <c r="S46" s="38" t="s">
        <v>173</v>
      </c>
    </row>
    <row r="47" spans="2:20" ht="30.75" hidden="1" customHeight="1">
      <c r="B47" s="259">
        <v>1400</v>
      </c>
      <c r="D47" s="111">
        <v>1964.98</v>
      </c>
      <c r="E47" s="109"/>
      <c r="F47" s="111"/>
      <c r="G47" s="100">
        <f t="shared" si="4"/>
        <v>225388000</v>
      </c>
      <c r="H47" s="1">
        <f>1964+1400</f>
        <v>3364</v>
      </c>
      <c r="I47" s="40">
        <f t="shared" si="5"/>
        <v>134469000</v>
      </c>
      <c r="J47" s="49">
        <f t="shared" si="6"/>
        <v>2007</v>
      </c>
      <c r="K47" s="4"/>
      <c r="L47" s="4"/>
      <c r="M47" s="242">
        <f t="shared" si="7"/>
        <v>90919000</v>
      </c>
      <c r="N47" s="231">
        <v>1357</v>
      </c>
      <c r="O47" s="237">
        <v>67000</v>
      </c>
      <c r="P47" s="156" t="s">
        <v>82</v>
      </c>
      <c r="Q47" s="127" t="s">
        <v>215</v>
      </c>
      <c r="R47" s="63" t="s">
        <v>158</v>
      </c>
      <c r="S47" s="38" t="s">
        <v>214</v>
      </c>
    </row>
    <row r="48" spans="2:20" ht="30.75" hidden="1" customHeight="1">
      <c r="D48" s="111"/>
      <c r="E48" s="109"/>
      <c r="F48" s="111"/>
      <c r="G48" s="100">
        <f t="shared" si="4"/>
        <v>0</v>
      </c>
      <c r="H48" s="1"/>
      <c r="I48" s="40">
        <f t="shared" si="5"/>
        <v>0</v>
      </c>
      <c r="J48" s="49">
        <f t="shared" si="6"/>
        <v>0</v>
      </c>
      <c r="K48" s="4"/>
      <c r="L48" s="4"/>
      <c r="M48" s="242">
        <f t="shared" si="7"/>
        <v>0</v>
      </c>
      <c r="N48" s="231"/>
      <c r="O48" s="238">
        <v>24300</v>
      </c>
      <c r="P48" s="157" t="s">
        <v>187</v>
      </c>
      <c r="Q48" s="128" t="s">
        <v>192</v>
      </c>
      <c r="R48" s="63" t="s">
        <v>158</v>
      </c>
      <c r="S48" s="38" t="s">
        <v>174</v>
      </c>
    </row>
    <row r="49" spans="2:20" ht="30.75" hidden="1" customHeight="1">
      <c r="D49" s="111"/>
      <c r="E49" s="109"/>
      <c r="F49" s="111"/>
      <c r="G49" s="100">
        <f t="shared" si="4"/>
        <v>0</v>
      </c>
      <c r="H49" s="1"/>
      <c r="I49" s="40">
        <f t="shared" si="5"/>
        <v>0</v>
      </c>
      <c r="J49" s="49">
        <f t="shared" si="6"/>
        <v>0</v>
      </c>
      <c r="K49" s="4"/>
      <c r="L49" s="4"/>
      <c r="M49" s="242">
        <f t="shared" si="7"/>
        <v>0</v>
      </c>
      <c r="N49" s="231"/>
      <c r="O49" s="238">
        <v>664000</v>
      </c>
      <c r="P49" s="157" t="s">
        <v>187</v>
      </c>
      <c r="Q49" s="128" t="s">
        <v>261</v>
      </c>
      <c r="R49" s="63" t="s">
        <v>158</v>
      </c>
      <c r="S49" s="38" t="s">
        <v>260</v>
      </c>
    </row>
    <row r="50" spans="2:20" ht="30.75" hidden="1" customHeight="1">
      <c r="B50" s="259">
        <v>70</v>
      </c>
      <c r="D50" s="111"/>
      <c r="E50" s="109"/>
      <c r="F50" s="111"/>
      <c r="G50" s="100">
        <f t="shared" si="4"/>
        <v>2394000</v>
      </c>
      <c r="H50" s="1">
        <v>70</v>
      </c>
      <c r="I50" s="40">
        <f t="shared" si="5"/>
        <v>2394000</v>
      </c>
      <c r="J50" s="49">
        <f t="shared" si="6"/>
        <v>70</v>
      </c>
      <c r="K50" s="4"/>
      <c r="L50" s="4"/>
      <c r="M50" s="242">
        <f t="shared" si="7"/>
        <v>0</v>
      </c>
      <c r="N50" s="231"/>
      <c r="O50" s="238">
        <v>34200</v>
      </c>
      <c r="P50" s="157" t="s">
        <v>187</v>
      </c>
      <c r="Q50" s="262" t="s">
        <v>259</v>
      </c>
      <c r="R50" s="63" t="s">
        <v>158</v>
      </c>
      <c r="S50" s="38" t="s">
        <v>258</v>
      </c>
    </row>
    <row r="51" spans="2:20" ht="30.75" hidden="1" customHeight="1">
      <c r="D51" s="111">
        <v>328.27</v>
      </c>
      <c r="E51" s="109"/>
      <c r="F51" s="111"/>
      <c r="G51" s="100">
        <f t="shared" si="4"/>
        <v>9118400</v>
      </c>
      <c r="H51" s="1">
        <f>328</f>
        <v>328</v>
      </c>
      <c r="I51" s="40">
        <f t="shared" si="5"/>
        <v>3558400</v>
      </c>
      <c r="J51" s="49">
        <f t="shared" si="6"/>
        <v>128</v>
      </c>
      <c r="K51" s="4"/>
      <c r="L51" s="4"/>
      <c r="M51" s="242">
        <f t="shared" si="7"/>
        <v>5560000</v>
      </c>
      <c r="N51" s="231">
        <v>200</v>
      </c>
      <c r="O51" s="239">
        <v>27800</v>
      </c>
      <c r="P51" s="157" t="s">
        <v>187</v>
      </c>
      <c r="Q51" s="129" t="s">
        <v>194</v>
      </c>
      <c r="R51" s="63" t="s">
        <v>158</v>
      </c>
      <c r="S51" s="38" t="s">
        <v>175</v>
      </c>
    </row>
    <row r="52" spans="2:20" ht="30.75" hidden="1" customHeight="1">
      <c r="D52" s="111">
        <v>964.17</v>
      </c>
      <c r="E52" s="109"/>
      <c r="F52" s="111"/>
      <c r="G52" s="100">
        <f t="shared" si="4"/>
        <v>29787600</v>
      </c>
      <c r="H52" s="1">
        <v>964</v>
      </c>
      <c r="I52" s="40">
        <f t="shared" si="5"/>
        <v>2163000</v>
      </c>
      <c r="J52" s="49">
        <f t="shared" si="6"/>
        <v>70</v>
      </c>
      <c r="K52" s="4"/>
      <c r="L52" s="4"/>
      <c r="M52" s="242">
        <f t="shared" si="7"/>
        <v>27624600</v>
      </c>
      <c r="N52" s="231">
        <v>894</v>
      </c>
      <c r="O52" s="240">
        <v>30900</v>
      </c>
      <c r="P52" s="158" t="s">
        <v>82</v>
      </c>
      <c r="Q52" s="130" t="s">
        <v>193</v>
      </c>
      <c r="R52" s="63" t="s">
        <v>158</v>
      </c>
      <c r="S52" s="38" t="s">
        <v>176</v>
      </c>
    </row>
    <row r="53" spans="2:20" ht="30.75" hidden="1" customHeight="1">
      <c r="B53" s="259" t="s">
        <v>293</v>
      </c>
      <c r="C53" s="3" t="s">
        <v>289</v>
      </c>
      <c r="D53" s="110">
        <v>27261</v>
      </c>
      <c r="E53" s="109"/>
      <c r="F53" s="110"/>
      <c r="G53" s="100">
        <f t="shared" si="4"/>
        <v>55821780</v>
      </c>
      <c r="H53" s="1">
        <f>27261+700*9+2000*9*1.3</f>
        <v>56961</v>
      </c>
      <c r="I53" s="40">
        <f t="shared" si="5"/>
        <v>44388120</v>
      </c>
      <c r="J53" s="49">
        <f t="shared" si="6"/>
        <v>45294</v>
      </c>
      <c r="K53" s="4"/>
      <c r="L53" s="4"/>
      <c r="M53" s="242">
        <f t="shared" si="7"/>
        <v>11433660</v>
      </c>
      <c r="N53" s="231">
        <v>11667</v>
      </c>
      <c r="O53" s="241">
        <v>980</v>
      </c>
      <c r="P53" s="6" t="s">
        <v>44</v>
      </c>
      <c r="Q53" s="45" t="s">
        <v>84</v>
      </c>
      <c r="R53" s="63" t="s">
        <v>158</v>
      </c>
      <c r="S53" s="38" t="s">
        <v>85</v>
      </c>
    </row>
    <row r="54" spans="2:20" ht="30.75" hidden="1" customHeight="1">
      <c r="B54" s="259" t="s">
        <v>294</v>
      </c>
      <c r="C54" s="3" t="s">
        <v>290</v>
      </c>
      <c r="D54" s="110">
        <v>76580.14</v>
      </c>
      <c r="E54" s="109"/>
      <c r="F54" s="110"/>
      <c r="G54" s="100">
        <f t="shared" si="4"/>
        <v>127609100</v>
      </c>
      <c r="H54" s="1">
        <f>76580+700*20+2000*20*1.3</f>
        <v>142580</v>
      </c>
      <c r="I54" s="40">
        <f t="shared" si="5"/>
        <v>104405330</v>
      </c>
      <c r="J54" s="49">
        <f t="shared" si="6"/>
        <v>116654</v>
      </c>
      <c r="K54" s="4"/>
      <c r="L54" s="4"/>
      <c r="M54" s="242">
        <f t="shared" si="7"/>
        <v>23203770</v>
      </c>
      <c r="N54" s="231">
        <v>25926</v>
      </c>
      <c r="O54" s="241">
        <v>895</v>
      </c>
      <c r="P54" s="6" t="s">
        <v>44</v>
      </c>
      <c r="Q54" s="45" t="s">
        <v>181</v>
      </c>
      <c r="R54" s="63" t="s">
        <v>158</v>
      </c>
      <c r="S54" s="38" t="s">
        <v>128</v>
      </c>
    </row>
    <row r="55" spans="2:20" ht="30.75" hidden="1" customHeight="1">
      <c r="B55" s="259" t="s">
        <v>295</v>
      </c>
      <c r="D55" s="122">
        <v>53865.71</v>
      </c>
      <c r="E55" s="109"/>
      <c r="F55" s="122"/>
      <c r="G55" s="100">
        <f t="shared" si="4"/>
        <v>68257475</v>
      </c>
      <c r="H55" s="58">
        <f>53865+2000*16*1.3</f>
        <v>95465</v>
      </c>
      <c r="I55" s="40">
        <f t="shared" si="5"/>
        <v>54114060</v>
      </c>
      <c r="J55" s="49">
        <f t="shared" si="6"/>
        <v>75684</v>
      </c>
      <c r="K55" s="59"/>
      <c r="L55" s="59"/>
      <c r="M55" s="242">
        <f t="shared" si="7"/>
        <v>14143415</v>
      </c>
      <c r="N55" s="231">
        <v>19781</v>
      </c>
      <c r="O55" s="241">
        <v>715</v>
      </c>
      <c r="P55" s="6" t="s">
        <v>44</v>
      </c>
      <c r="Q55" s="45" t="s">
        <v>157</v>
      </c>
      <c r="R55" s="63" t="s">
        <v>158</v>
      </c>
      <c r="S55" s="61" t="s">
        <v>156</v>
      </c>
    </row>
    <row r="56" spans="2:20" ht="36.75" hidden="1" customHeight="1" thickBot="1">
      <c r="D56" s="131"/>
      <c r="F56" s="131"/>
      <c r="G56" s="397">
        <f>SUM(G41:G55)</f>
        <v>2045390155</v>
      </c>
      <c r="H56" s="398"/>
      <c r="I56" s="399">
        <f>SUM(I41:I55)</f>
        <v>1553046010</v>
      </c>
      <c r="J56" s="399"/>
      <c r="K56" s="411">
        <f>SUM(K43:K54)</f>
        <v>0</v>
      </c>
      <c r="L56" s="411"/>
      <c r="M56" s="411">
        <f>SUM(M41:M55)</f>
        <v>492344145</v>
      </c>
      <c r="N56" s="411"/>
      <c r="O56" s="133"/>
      <c r="P56" s="132"/>
      <c r="Q56" s="134" t="s">
        <v>86</v>
      </c>
      <c r="R56" s="8" t="s">
        <v>158</v>
      </c>
      <c r="S56" s="209"/>
      <c r="T56" s="29"/>
    </row>
    <row r="57" spans="2:20" ht="49.5" hidden="1" customHeight="1" thickBot="1">
      <c r="D57" s="89"/>
      <c r="F57" s="89"/>
      <c r="G57" s="102"/>
      <c r="H57" s="92"/>
      <c r="I57" s="93"/>
      <c r="J57" s="93"/>
      <c r="K57" s="92"/>
      <c r="L57" s="92"/>
      <c r="M57" s="102"/>
      <c r="N57" s="92"/>
      <c r="O57" s="107"/>
      <c r="P57" s="92"/>
      <c r="Q57" s="94"/>
      <c r="R57" s="69"/>
      <c r="S57" s="211"/>
      <c r="T57" s="29"/>
    </row>
    <row r="58" spans="2:20" ht="23.25" hidden="1" customHeight="1">
      <c r="D58" s="77"/>
      <c r="F58" s="173"/>
      <c r="G58" s="382" t="s">
        <v>300</v>
      </c>
      <c r="H58" s="382"/>
      <c r="I58" s="382" t="s">
        <v>145</v>
      </c>
      <c r="J58" s="382"/>
      <c r="K58" s="78"/>
      <c r="L58" s="78"/>
      <c r="M58" s="199"/>
      <c r="N58" s="78"/>
      <c r="O58" s="79"/>
      <c r="P58" s="78"/>
      <c r="Q58" s="80" t="s">
        <v>171</v>
      </c>
      <c r="R58" s="41"/>
      <c r="S58" s="219"/>
    </row>
    <row r="59" spans="2:20" ht="23.25" hidden="1" customHeight="1">
      <c r="D59" s="81"/>
      <c r="F59" s="174"/>
      <c r="G59" s="96"/>
      <c r="H59" s="82"/>
      <c r="I59" s="83"/>
      <c r="J59" s="143" t="s">
        <v>146</v>
      </c>
      <c r="K59" s="144"/>
      <c r="L59" s="144"/>
      <c r="M59" s="200"/>
      <c r="N59" s="144"/>
      <c r="O59" s="135"/>
      <c r="P59" s="144"/>
      <c r="Q59" s="84" t="s">
        <v>292</v>
      </c>
      <c r="R59" s="56"/>
      <c r="S59" s="175"/>
    </row>
    <row r="60" spans="2:20" ht="23.25" hidden="1" customHeight="1" thickBot="1">
      <c r="D60" s="85"/>
      <c r="F60" s="85"/>
      <c r="G60" s="145"/>
      <c r="H60" s="136"/>
      <c r="I60" s="146"/>
      <c r="J60" s="146"/>
      <c r="K60" s="136"/>
      <c r="L60" s="136"/>
      <c r="M60" s="145" t="s">
        <v>183</v>
      </c>
      <c r="N60" s="136"/>
      <c r="O60" s="136"/>
      <c r="P60" s="136"/>
      <c r="Q60" s="86" t="s">
        <v>195</v>
      </c>
      <c r="R60" s="42"/>
      <c r="S60" s="205"/>
    </row>
    <row r="61" spans="2:20" ht="25.5" hidden="1" customHeight="1">
      <c r="D61" s="385" t="s">
        <v>144</v>
      </c>
      <c r="F61" s="385" t="s">
        <v>144</v>
      </c>
      <c r="G61" s="406" t="s">
        <v>63</v>
      </c>
      <c r="H61" s="406"/>
      <c r="I61" s="409" t="s">
        <v>170</v>
      </c>
      <c r="J61" s="409"/>
      <c r="K61" s="401" t="s">
        <v>2</v>
      </c>
      <c r="L61" s="401"/>
      <c r="M61" s="401" t="s">
        <v>169</v>
      </c>
      <c r="N61" s="401"/>
      <c r="O61" s="426" t="s">
        <v>139</v>
      </c>
      <c r="P61" s="401" t="s">
        <v>1</v>
      </c>
      <c r="Q61" s="401" t="s">
        <v>138</v>
      </c>
      <c r="R61" s="62"/>
      <c r="S61" s="424" t="s">
        <v>0</v>
      </c>
    </row>
    <row r="62" spans="2:20" ht="25.5" hidden="1" customHeight="1">
      <c r="D62" s="386"/>
      <c r="F62" s="386"/>
      <c r="G62" s="97" t="s">
        <v>143</v>
      </c>
      <c r="H62" s="49" t="s">
        <v>142</v>
      </c>
      <c r="I62" s="49" t="s">
        <v>143</v>
      </c>
      <c r="J62" s="49" t="s">
        <v>142</v>
      </c>
      <c r="K62" s="1" t="s">
        <v>4</v>
      </c>
      <c r="L62" s="1" t="s">
        <v>3</v>
      </c>
      <c r="M62" s="100" t="s">
        <v>141</v>
      </c>
      <c r="N62" s="1" t="s">
        <v>140</v>
      </c>
      <c r="O62" s="427"/>
      <c r="P62" s="422"/>
      <c r="Q62" s="422"/>
      <c r="R62" s="2"/>
      <c r="S62" s="425"/>
    </row>
    <row r="63" spans="2:20" ht="34.5" hidden="1" customHeight="1">
      <c r="D63" s="35"/>
      <c r="F63" s="35"/>
      <c r="G63" s="100">
        <f>H63*O63</f>
        <v>0</v>
      </c>
      <c r="H63" s="1"/>
      <c r="I63" s="40">
        <f>J63*O63</f>
        <v>0</v>
      </c>
      <c r="J63" s="49">
        <f>H63-N63</f>
        <v>0</v>
      </c>
      <c r="K63" s="6"/>
      <c r="L63" s="4"/>
      <c r="M63" s="191"/>
      <c r="N63" s="4"/>
      <c r="O63" s="147">
        <v>25900</v>
      </c>
      <c r="P63" s="159" t="s">
        <v>82</v>
      </c>
      <c r="Q63" s="137" t="s">
        <v>196</v>
      </c>
      <c r="R63" s="63" t="s">
        <v>158</v>
      </c>
      <c r="S63" s="38" t="s">
        <v>177</v>
      </c>
      <c r="T63" s="29"/>
    </row>
    <row r="64" spans="2:20" ht="34.5" hidden="1" customHeight="1">
      <c r="D64" s="35"/>
      <c r="F64" s="35"/>
      <c r="G64" s="100">
        <f>H64*O64</f>
        <v>0</v>
      </c>
      <c r="H64" s="1"/>
      <c r="I64" s="40">
        <f>J64*O64</f>
        <v>0</v>
      </c>
      <c r="J64" s="49">
        <f>H64-N64</f>
        <v>0</v>
      </c>
      <c r="K64" s="6"/>
      <c r="L64" s="4"/>
      <c r="M64" s="191"/>
      <c r="N64" s="4"/>
      <c r="O64" s="148">
        <v>39700</v>
      </c>
      <c r="P64" s="160" t="s">
        <v>82</v>
      </c>
      <c r="Q64" s="138" t="s">
        <v>197</v>
      </c>
      <c r="R64" s="63" t="s">
        <v>158</v>
      </c>
      <c r="S64" s="38" t="s">
        <v>178</v>
      </c>
      <c r="T64" s="29"/>
    </row>
    <row r="65" spans="2:20" ht="34.5" hidden="1" customHeight="1">
      <c r="B65" s="259">
        <v>1613</v>
      </c>
      <c r="D65" s="35">
        <v>1964.98</v>
      </c>
      <c r="F65" s="35"/>
      <c r="G65" s="100">
        <f>H65*O65</f>
        <v>29689100</v>
      </c>
      <c r="H65" s="1">
        <f>1964+1613</f>
        <v>3577</v>
      </c>
      <c r="I65" s="40">
        <f>J65*O65</f>
        <v>18426000</v>
      </c>
      <c r="J65" s="49">
        <f>H65-N65</f>
        <v>2220</v>
      </c>
      <c r="K65" s="6"/>
      <c r="L65" s="4"/>
      <c r="M65" s="191">
        <f>N65*O65</f>
        <v>11263100</v>
      </c>
      <c r="N65" s="4">
        <v>1357</v>
      </c>
      <c r="O65" s="149">
        <v>8300</v>
      </c>
      <c r="P65" s="161" t="s">
        <v>82</v>
      </c>
      <c r="Q65" s="222" t="s">
        <v>217</v>
      </c>
      <c r="R65" s="63" t="s">
        <v>158</v>
      </c>
      <c r="S65" s="38" t="s">
        <v>216</v>
      </c>
      <c r="T65" s="29"/>
    </row>
    <row r="66" spans="2:20" ht="34.5" hidden="1" customHeight="1">
      <c r="D66" s="35">
        <v>333.12</v>
      </c>
      <c r="F66" s="35"/>
      <c r="G66" s="100">
        <f>H66*O66</f>
        <v>1698300</v>
      </c>
      <c r="H66" s="1">
        <v>333</v>
      </c>
      <c r="I66" s="40">
        <f>J66*O66</f>
        <v>234600</v>
      </c>
      <c r="J66" s="49">
        <f>H66-N66</f>
        <v>46</v>
      </c>
      <c r="K66" s="6"/>
      <c r="L66" s="4"/>
      <c r="M66" s="191">
        <f>N66*O66</f>
        <v>1463700</v>
      </c>
      <c r="N66" s="4">
        <v>287</v>
      </c>
      <c r="O66" s="150">
        <v>5100</v>
      </c>
      <c r="P66" s="162" t="s">
        <v>82</v>
      </c>
      <c r="Q66" s="139" t="s">
        <v>198</v>
      </c>
      <c r="R66" s="63" t="s">
        <v>158</v>
      </c>
      <c r="S66" s="38" t="s">
        <v>179</v>
      </c>
      <c r="T66" s="29"/>
    </row>
    <row r="67" spans="2:20" ht="33.75" hidden="1" customHeight="1" thickBot="1">
      <c r="D67" s="21"/>
      <c r="F67" s="21"/>
      <c r="G67" s="395">
        <f>SUM(G63:G66)</f>
        <v>31387400</v>
      </c>
      <c r="H67" s="396"/>
      <c r="I67" s="416">
        <f>SUM(I63:I66)</f>
        <v>18660600</v>
      </c>
      <c r="J67" s="417"/>
      <c r="K67" s="8">
        <f>L67*O67</f>
        <v>0</v>
      </c>
      <c r="L67" s="15"/>
      <c r="M67" s="418">
        <f>SUM(M65:M66)</f>
        <v>12726800</v>
      </c>
      <c r="N67" s="419"/>
      <c r="O67" s="23"/>
      <c r="P67" s="8"/>
      <c r="Q67" s="134" t="s">
        <v>199</v>
      </c>
      <c r="R67" s="120" t="s">
        <v>158</v>
      </c>
      <c r="S67" s="121"/>
      <c r="T67" s="29"/>
    </row>
    <row r="68" spans="2:20" ht="25.5" hidden="1" customHeight="1" thickBot="1">
      <c r="D68" s="85"/>
      <c r="F68" s="85"/>
      <c r="G68" s="145"/>
      <c r="H68" s="136"/>
      <c r="I68" s="146"/>
      <c r="J68" s="146"/>
      <c r="K68" s="136"/>
      <c r="L68" s="136"/>
      <c r="M68" s="145" t="s">
        <v>183</v>
      </c>
      <c r="N68" s="136"/>
      <c r="O68" s="136"/>
      <c r="P68" s="136"/>
      <c r="Q68" s="86" t="s">
        <v>200</v>
      </c>
      <c r="R68" s="42"/>
      <c r="S68" s="205"/>
    </row>
    <row r="69" spans="2:20" ht="30" hidden="1" customHeight="1">
      <c r="B69" s="259" t="s">
        <v>262</v>
      </c>
      <c r="C69" s="3">
        <v>300</v>
      </c>
      <c r="D69" s="91">
        <v>184.4</v>
      </c>
      <c r="F69" s="91"/>
      <c r="G69" s="141">
        <f>H69*O69</f>
        <v>50483200</v>
      </c>
      <c r="H69" s="49">
        <f>184+300+540</f>
        <v>1024</v>
      </c>
      <c r="I69" s="40">
        <f>J69*O69</f>
        <v>39144200</v>
      </c>
      <c r="J69" s="49">
        <f>H69-N69</f>
        <v>794</v>
      </c>
      <c r="K69" s="1"/>
      <c r="L69" s="1"/>
      <c r="M69" s="243">
        <f>N69*O69</f>
        <v>11339000</v>
      </c>
      <c r="N69" s="244">
        <v>230</v>
      </c>
      <c r="O69" s="151">
        <v>49300</v>
      </c>
      <c r="P69" s="163" t="s">
        <v>82</v>
      </c>
      <c r="Q69" s="140" t="s">
        <v>201</v>
      </c>
      <c r="R69" s="63" t="s">
        <v>158</v>
      </c>
      <c r="S69" s="212">
        <v>80101</v>
      </c>
    </row>
    <row r="70" spans="2:20" ht="33" hidden="1" customHeight="1">
      <c r="C70" s="3">
        <v>30</v>
      </c>
      <c r="D70" s="20"/>
      <c r="F70" s="20"/>
      <c r="G70" s="141">
        <f t="shared" ref="G70:G79" si="8">H70*O70</f>
        <v>2082000</v>
      </c>
      <c r="H70" s="1">
        <v>30</v>
      </c>
      <c r="I70" s="40">
        <f t="shared" ref="I70:I79" si="9">J70*O70</f>
        <v>2082000</v>
      </c>
      <c r="J70" s="49">
        <f t="shared" ref="J70:J79" si="10">H70-N70</f>
        <v>30</v>
      </c>
      <c r="K70" s="6"/>
      <c r="L70" s="4"/>
      <c r="M70" s="243">
        <f t="shared" ref="M70:M79" si="11">N70*O70</f>
        <v>0</v>
      </c>
      <c r="N70" s="245"/>
      <c r="O70" s="246">
        <v>69400</v>
      </c>
      <c r="P70" s="6" t="s">
        <v>36</v>
      </c>
      <c r="Q70" s="45" t="s">
        <v>203</v>
      </c>
      <c r="R70" s="63" t="s">
        <v>158</v>
      </c>
      <c r="S70" s="38" t="s">
        <v>114</v>
      </c>
    </row>
    <row r="71" spans="2:20" ht="33" hidden="1" customHeight="1">
      <c r="C71" s="3">
        <v>100</v>
      </c>
      <c r="D71" s="20"/>
      <c r="F71" s="20"/>
      <c r="G71" s="141">
        <f t="shared" si="8"/>
        <v>9650000</v>
      </c>
      <c r="H71" s="1">
        <v>100</v>
      </c>
      <c r="I71" s="40">
        <f t="shared" si="9"/>
        <v>-59830000</v>
      </c>
      <c r="J71" s="49">
        <f t="shared" si="10"/>
        <v>-620</v>
      </c>
      <c r="K71" s="6"/>
      <c r="L71" s="4"/>
      <c r="M71" s="243">
        <f t="shared" si="11"/>
        <v>69480000</v>
      </c>
      <c r="N71" s="245">
        <v>720</v>
      </c>
      <c r="O71" s="246">
        <v>96500</v>
      </c>
      <c r="P71" s="6" t="s">
        <v>36</v>
      </c>
      <c r="Q71" s="45" t="s">
        <v>104</v>
      </c>
      <c r="R71" s="63" t="s">
        <v>158</v>
      </c>
      <c r="S71" s="38" t="s">
        <v>103</v>
      </c>
    </row>
    <row r="72" spans="2:20" ht="33" hidden="1" customHeight="1">
      <c r="C72" s="266">
        <v>600</v>
      </c>
      <c r="D72" s="20"/>
      <c r="F72" s="20"/>
      <c r="G72" s="141">
        <f t="shared" si="8"/>
        <v>53750000</v>
      </c>
      <c r="H72" s="1">
        <v>500</v>
      </c>
      <c r="I72" s="40">
        <f t="shared" si="9"/>
        <v>53750000</v>
      </c>
      <c r="J72" s="49">
        <f t="shared" si="10"/>
        <v>500</v>
      </c>
      <c r="K72" s="6"/>
      <c r="L72" s="4"/>
      <c r="M72" s="243">
        <f t="shared" si="11"/>
        <v>0</v>
      </c>
      <c r="N72" s="245"/>
      <c r="O72" s="246">
        <v>107500</v>
      </c>
      <c r="P72" s="6" t="s">
        <v>36</v>
      </c>
      <c r="Q72" s="45" t="s">
        <v>130</v>
      </c>
      <c r="R72" s="63" t="s">
        <v>158</v>
      </c>
      <c r="S72" s="38" t="s">
        <v>129</v>
      </c>
    </row>
    <row r="73" spans="2:20" ht="33" hidden="1" customHeight="1">
      <c r="C73" s="266">
        <v>470</v>
      </c>
      <c r="D73" s="20"/>
      <c r="F73" s="20"/>
      <c r="G73" s="141">
        <f t="shared" si="8"/>
        <v>42000000</v>
      </c>
      <c r="H73" s="1">
        <v>350</v>
      </c>
      <c r="I73" s="40">
        <f t="shared" si="9"/>
        <v>42000000</v>
      </c>
      <c r="J73" s="49">
        <f t="shared" si="10"/>
        <v>350</v>
      </c>
      <c r="K73" s="6"/>
      <c r="L73" s="4"/>
      <c r="M73" s="243">
        <f t="shared" si="11"/>
        <v>0</v>
      </c>
      <c r="N73" s="245"/>
      <c r="O73" s="246">
        <v>120000</v>
      </c>
      <c r="P73" s="6" t="s">
        <v>36</v>
      </c>
      <c r="Q73" s="45" t="s">
        <v>116</v>
      </c>
      <c r="R73" s="63" t="s">
        <v>158</v>
      </c>
      <c r="S73" s="38" t="s">
        <v>115</v>
      </c>
    </row>
    <row r="74" spans="2:20" ht="33" hidden="1" customHeight="1">
      <c r="D74" s="20">
        <v>1521.75</v>
      </c>
      <c r="F74" s="20"/>
      <c r="G74" s="141">
        <f t="shared" si="8"/>
        <v>238036500</v>
      </c>
      <c r="H74" s="1">
        <v>1521</v>
      </c>
      <c r="I74" s="40">
        <f t="shared" si="9"/>
        <v>-5164500</v>
      </c>
      <c r="J74" s="49">
        <f t="shared" si="10"/>
        <v>-33</v>
      </c>
      <c r="K74" s="6"/>
      <c r="L74" s="4"/>
      <c r="M74" s="243">
        <f t="shared" si="11"/>
        <v>243201000</v>
      </c>
      <c r="N74" s="245">
        <v>1554</v>
      </c>
      <c r="O74" s="246">
        <v>156500</v>
      </c>
      <c r="P74" s="6" t="s">
        <v>36</v>
      </c>
      <c r="Q74" s="45" t="s">
        <v>232</v>
      </c>
      <c r="R74" s="63" t="s">
        <v>158</v>
      </c>
      <c r="S74" s="38" t="s">
        <v>231</v>
      </c>
    </row>
    <row r="75" spans="2:20" ht="33" hidden="1" customHeight="1">
      <c r="D75" s="20"/>
      <c r="F75" s="20"/>
      <c r="G75" s="141">
        <f t="shared" si="8"/>
        <v>0</v>
      </c>
      <c r="H75" s="1"/>
      <c r="I75" s="40">
        <f t="shared" si="9"/>
        <v>0</v>
      </c>
      <c r="J75" s="49">
        <f t="shared" si="10"/>
        <v>0</v>
      </c>
      <c r="K75" s="6"/>
      <c r="L75" s="4"/>
      <c r="M75" s="243">
        <f t="shared" si="11"/>
        <v>0</v>
      </c>
      <c r="N75" s="245"/>
      <c r="O75" s="246">
        <v>37500</v>
      </c>
      <c r="P75" s="6" t="s">
        <v>36</v>
      </c>
      <c r="Q75" s="45" t="s">
        <v>147</v>
      </c>
      <c r="R75" s="63" t="s">
        <v>158</v>
      </c>
      <c r="S75" s="36" t="s">
        <v>132</v>
      </c>
    </row>
    <row r="76" spans="2:20" ht="33" hidden="1" customHeight="1">
      <c r="D76" s="20"/>
      <c r="F76" s="20"/>
      <c r="G76" s="141">
        <f t="shared" si="8"/>
        <v>0</v>
      </c>
      <c r="H76" s="1"/>
      <c r="I76" s="40">
        <f t="shared" si="9"/>
        <v>0</v>
      </c>
      <c r="J76" s="49">
        <f t="shared" si="10"/>
        <v>0</v>
      </c>
      <c r="K76" s="6"/>
      <c r="L76" s="4"/>
      <c r="M76" s="243">
        <f t="shared" si="11"/>
        <v>0</v>
      </c>
      <c r="N76" s="245"/>
      <c r="O76" s="246">
        <v>32400</v>
      </c>
      <c r="P76" s="6" t="s">
        <v>36</v>
      </c>
      <c r="Q76" s="45" t="s">
        <v>133</v>
      </c>
      <c r="R76" s="63" t="s">
        <v>158</v>
      </c>
      <c r="S76" s="36" t="s">
        <v>131</v>
      </c>
    </row>
    <row r="77" spans="2:20" ht="33" hidden="1" customHeight="1">
      <c r="D77" s="20"/>
      <c r="F77" s="20"/>
      <c r="G77" s="141">
        <f t="shared" si="8"/>
        <v>0</v>
      </c>
      <c r="H77" s="1"/>
      <c r="I77" s="40">
        <f t="shared" si="9"/>
        <v>0</v>
      </c>
      <c r="J77" s="49">
        <f t="shared" si="10"/>
        <v>0</v>
      </c>
      <c r="K77" s="6"/>
      <c r="L77" s="4"/>
      <c r="M77" s="243">
        <f t="shared" si="11"/>
        <v>0</v>
      </c>
      <c r="N77" s="245"/>
      <c r="O77" s="246">
        <v>13400</v>
      </c>
      <c r="P77" s="6" t="s">
        <v>36</v>
      </c>
      <c r="Q77" s="46" t="s">
        <v>90</v>
      </c>
      <c r="R77" s="63" t="s">
        <v>158</v>
      </c>
      <c r="S77" s="36" t="s">
        <v>88</v>
      </c>
    </row>
    <row r="78" spans="2:20" ht="33" hidden="1" customHeight="1">
      <c r="B78" s="259">
        <v>5520</v>
      </c>
      <c r="C78" s="3">
        <v>3500</v>
      </c>
      <c r="D78" s="20">
        <v>7547.5</v>
      </c>
      <c r="F78" s="20"/>
      <c r="G78" s="141">
        <f t="shared" si="8"/>
        <v>88799120</v>
      </c>
      <c r="H78" s="1">
        <f>7547+3500+5520</f>
        <v>16567</v>
      </c>
      <c r="I78" s="40">
        <f t="shared" si="9"/>
        <v>84484320</v>
      </c>
      <c r="J78" s="49">
        <f t="shared" si="10"/>
        <v>15762</v>
      </c>
      <c r="K78" s="6"/>
      <c r="L78" s="4"/>
      <c r="M78" s="243">
        <f t="shared" si="11"/>
        <v>4314800</v>
      </c>
      <c r="N78" s="245">
        <v>805</v>
      </c>
      <c r="O78" s="246">
        <v>5360</v>
      </c>
      <c r="P78" s="4" t="s">
        <v>47</v>
      </c>
      <c r="Q78" s="46" t="s">
        <v>46</v>
      </c>
      <c r="R78" s="63" t="s">
        <v>158</v>
      </c>
      <c r="S78" s="36" t="s">
        <v>45</v>
      </c>
    </row>
    <row r="79" spans="2:20" ht="33" hidden="1" customHeight="1">
      <c r="C79" s="3">
        <v>300</v>
      </c>
      <c r="D79" s="20"/>
      <c r="F79" s="20"/>
      <c r="G79" s="141">
        <f t="shared" si="8"/>
        <v>18960000</v>
      </c>
      <c r="H79" s="1">
        <v>300</v>
      </c>
      <c r="I79" s="40">
        <f t="shared" si="9"/>
        <v>18960000</v>
      </c>
      <c r="J79" s="49">
        <f t="shared" si="10"/>
        <v>300</v>
      </c>
      <c r="K79" s="6"/>
      <c r="L79" s="4"/>
      <c r="M79" s="243">
        <f t="shared" si="11"/>
        <v>0</v>
      </c>
      <c r="N79" s="245"/>
      <c r="O79" s="246">
        <v>63200</v>
      </c>
      <c r="P79" s="6" t="s">
        <v>36</v>
      </c>
      <c r="Q79" s="46" t="s">
        <v>87</v>
      </c>
      <c r="R79" s="63" t="s">
        <v>158</v>
      </c>
      <c r="S79" s="36" t="s">
        <v>89</v>
      </c>
    </row>
    <row r="80" spans="2:20" ht="33" hidden="1" customHeight="1" thickBot="1">
      <c r="D80" s="142"/>
      <c r="F80" s="142"/>
      <c r="G80" s="412">
        <f>SUM(G69:G79)</f>
        <v>503760820</v>
      </c>
      <c r="H80" s="413"/>
      <c r="I80" s="399">
        <f>SUM(I69:I79)</f>
        <v>175426020</v>
      </c>
      <c r="J80" s="399"/>
      <c r="K80" s="411">
        <f>SUM(K68:K79)</f>
        <v>0</v>
      </c>
      <c r="L80" s="411"/>
      <c r="M80" s="411">
        <f>SUM(M69:M79)</f>
        <v>328334800</v>
      </c>
      <c r="N80" s="411"/>
      <c r="O80" s="133"/>
      <c r="P80" s="132"/>
      <c r="Q80" s="132" t="s">
        <v>6</v>
      </c>
      <c r="R80" s="8"/>
      <c r="S80" s="209"/>
    </row>
    <row r="81" spans="2:20" ht="49.5" hidden="1" customHeight="1" thickBot="1">
      <c r="D81" s="13"/>
      <c r="F81" s="13"/>
      <c r="G81" s="99"/>
      <c r="H81" s="37"/>
      <c r="I81" s="50"/>
      <c r="J81" s="50"/>
      <c r="K81" s="37"/>
      <c r="L81" s="37"/>
      <c r="M81" s="99"/>
      <c r="N81" s="37"/>
      <c r="O81" s="24"/>
      <c r="P81" s="9"/>
      <c r="Q81" s="9"/>
      <c r="R81" s="70"/>
      <c r="S81" s="208"/>
    </row>
    <row r="82" spans="2:20" ht="25.5" hidden="1" customHeight="1">
      <c r="D82" s="77"/>
      <c r="F82" s="173"/>
      <c r="G82" s="382" t="s">
        <v>300</v>
      </c>
      <c r="H82" s="382"/>
      <c r="I82" s="382" t="s">
        <v>145</v>
      </c>
      <c r="J82" s="382"/>
      <c r="K82" s="78"/>
      <c r="L82" s="78"/>
      <c r="M82" s="199"/>
      <c r="N82" s="78"/>
      <c r="O82" s="79"/>
      <c r="P82" s="78"/>
      <c r="Q82" s="80" t="s">
        <v>171</v>
      </c>
      <c r="R82" s="41"/>
      <c r="S82" s="219"/>
    </row>
    <row r="83" spans="2:20" ht="25.5" hidden="1" customHeight="1">
      <c r="D83" s="81"/>
      <c r="F83" s="174"/>
      <c r="G83" s="96"/>
      <c r="H83" s="82"/>
      <c r="I83" s="83"/>
      <c r="J83" s="143" t="s">
        <v>146</v>
      </c>
      <c r="K83" s="144"/>
      <c r="L83" s="144"/>
      <c r="M83" s="200"/>
      <c r="N83" s="144"/>
      <c r="O83" s="135"/>
      <c r="P83" s="144"/>
      <c r="Q83" s="84" t="s">
        <v>292</v>
      </c>
      <c r="R83" s="56"/>
      <c r="S83" s="175"/>
    </row>
    <row r="84" spans="2:20" ht="25.5" hidden="1" customHeight="1" thickBot="1">
      <c r="D84" s="85"/>
      <c r="F84" s="85"/>
      <c r="G84" s="145"/>
      <c r="H84" s="136"/>
      <c r="I84" s="146"/>
      <c r="J84" s="146"/>
      <c r="K84" s="136"/>
      <c r="L84" s="136"/>
      <c r="M84" s="145" t="s">
        <v>183</v>
      </c>
      <c r="N84" s="136"/>
      <c r="O84" s="136"/>
      <c r="P84" s="136"/>
      <c r="Q84" s="86" t="s">
        <v>202</v>
      </c>
      <c r="R84" s="42"/>
      <c r="S84" s="205"/>
    </row>
    <row r="85" spans="2:20" ht="30" hidden="1" customHeight="1">
      <c r="D85" s="385" t="s">
        <v>144</v>
      </c>
      <c r="F85" s="385"/>
      <c r="G85" s="406" t="s">
        <v>63</v>
      </c>
      <c r="H85" s="406"/>
      <c r="I85" s="409" t="s">
        <v>170</v>
      </c>
      <c r="J85" s="409"/>
      <c r="K85" s="401" t="s">
        <v>2</v>
      </c>
      <c r="L85" s="401"/>
      <c r="M85" s="401" t="s">
        <v>169</v>
      </c>
      <c r="N85" s="401"/>
      <c r="O85" s="426" t="s">
        <v>139</v>
      </c>
      <c r="P85" s="401" t="s">
        <v>1</v>
      </c>
      <c r="Q85" s="401" t="s">
        <v>138</v>
      </c>
      <c r="R85" s="63"/>
      <c r="S85" s="424" t="s">
        <v>0</v>
      </c>
    </row>
    <row r="86" spans="2:20" ht="30" hidden="1" customHeight="1">
      <c r="D86" s="386"/>
      <c r="F86" s="386"/>
      <c r="G86" s="97" t="s">
        <v>143</v>
      </c>
      <c r="H86" s="49" t="s">
        <v>142</v>
      </c>
      <c r="I86" s="49" t="s">
        <v>143</v>
      </c>
      <c r="J86" s="49" t="s">
        <v>142</v>
      </c>
      <c r="K86" s="1" t="s">
        <v>4</v>
      </c>
      <c r="L86" s="1" t="s">
        <v>3</v>
      </c>
      <c r="M86" s="100" t="s">
        <v>141</v>
      </c>
      <c r="N86" s="1" t="s">
        <v>140</v>
      </c>
      <c r="O86" s="427"/>
      <c r="P86" s="422"/>
      <c r="Q86" s="422"/>
      <c r="R86" s="63"/>
      <c r="S86" s="425"/>
    </row>
    <row r="87" spans="2:20" ht="31.5" hidden="1" customHeight="1">
      <c r="D87" s="20">
        <v>7265</v>
      </c>
      <c r="F87" s="20"/>
      <c r="G87" s="100">
        <f>H87*O87</f>
        <v>58410600</v>
      </c>
      <c r="H87" s="1">
        <v>7265</v>
      </c>
      <c r="I87" s="40">
        <f>J87*O87</f>
        <v>3770760</v>
      </c>
      <c r="J87" s="49">
        <f>H87-N87</f>
        <v>469</v>
      </c>
      <c r="K87" s="4"/>
      <c r="L87" s="4"/>
      <c r="M87" s="191">
        <f>N87*O87</f>
        <v>54639840</v>
      </c>
      <c r="N87" s="4">
        <v>6796</v>
      </c>
      <c r="O87" s="22">
        <v>8040</v>
      </c>
      <c r="P87" s="4" t="s">
        <v>48</v>
      </c>
      <c r="Q87" s="6" t="s">
        <v>94</v>
      </c>
      <c r="R87" s="63" t="s">
        <v>158</v>
      </c>
      <c r="S87" s="36" t="s">
        <v>91</v>
      </c>
    </row>
    <row r="88" spans="2:20" ht="31.5" hidden="1" customHeight="1">
      <c r="D88" s="20">
        <v>53957.8</v>
      </c>
      <c r="F88" s="20"/>
      <c r="G88" s="100">
        <f>H88*O88</f>
        <v>349637805.00666648</v>
      </c>
      <c r="H88" s="267">
        <v>54974.497642557624</v>
      </c>
      <c r="I88" s="40">
        <f>J88*O88</f>
        <v>17779365.006666489</v>
      </c>
      <c r="J88" s="49">
        <f>H88-N88</f>
        <v>2795.4976425576242</v>
      </c>
      <c r="K88" s="4"/>
      <c r="L88" s="4"/>
      <c r="M88" s="191">
        <f>N88*O88</f>
        <v>331858440</v>
      </c>
      <c r="N88" s="4">
        <v>52179</v>
      </c>
      <c r="O88" s="22">
        <v>6360</v>
      </c>
      <c r="P88" s="4" t="s">
        <v>48</v>
      </c>
      <c r="Q88" s="6" t="s">
        <v>95</v>
      </c>
      <c r="R88" s="63" t="s">
        <v>158</v>
      </c>
      <c r="S88" s="36" t="s">
        <v>92</v>
      </c>
    </row>
    <row r="89" spans="2:20" ht="31.5" hidden="1" customHeight="1">
      <c r="B89" s="259" t="s">
        <v>263</v>
      </c>
      <c r="D89" s="20">
        <v>27030.59</v>
      </c>
      <c r="F89" s="20"/>
      <c r="G89" s="100">
        <f>H89*O89</f>
        <v>171782280</v>
      </c>
      <c r="H89" s="223">
        <v>28069</v>
      </c>
      <c r="I89" s="40">
        <f>J89*O89</f>
        <v>171782280</v>
      </c>
      <c r="J89" s="49">
        <f>H89-N89</f>
        <v>28069</v>
      </c>
      <c r="K89" s="4"/>
      <c r="L89" s="4"/>
      <c r="M89" s="191">
        <f>N89*O89</f>
        <v>0</v>
      </c>
      <c r="N89" s="4"/>
      <c r="O89" s="22">
        <v>6120</v>
      </c>
      <c r="P89" s="4" t="s">
        <v>48</v>
      </c>
      <c r="Q89" s="4" t="s">
        <v>96</v>
      </c>
      <c r="R89" s="63" t="s">
        <v>158</v>
      </c>
      <c r="S89" s="36" t="s">
        <v>93</v>
      </c>
    </row>
    <row r="90" spans="2:20" ht="31.5" hidden="1" customHeight="1">
      <c r="D90" s="20"/>
      <c r="F90" s="20"/>
      <c r="G90" s="100">
        <f>H90*O90</f>
        <v>0</v>
      </c>
      <c r="H90" s="1"/>
      <c r="I90" s="40">
        <f>J90*O90</f>
        <v>0</v>
      </c>
      <c r="J90" s="49">
        <f>H90-N90</f>
        <v>0</v>
      </c>
      <c r="K90" s="4"/>
      <c r="L90" s="4"/>
      <c r="M90" s="191">
        <f>N90*O90</f>
        <v>0</v>
      </c>
      <c r="N90" s="4"/>
      <c r="O90" s="22">
        <v>325</v>
      </c>
      <c r="P90" s="4" t="s">
        <v>48</v>
      </c>
      <c r="Q90" s="4" t="s">
        <v>118</v>
      </c>
      <c r="R90" s="63" t="s">
        <v>158</v>
      </c>
      <c r="S90" s="36" t="s">
        <v>117</v>
      </c>
    </row>
    <row r="91" spans="2:20" ht="31.5" hidden="1" customHeight="1">
      <c r="D91" s="20"/>
      <c r="F91" s="20"/>
      <c r="G91" s="100">
        <f>H91*O91</f>
        <v>0</v>
      </c>
      <c r="H91" s="1"/>
      <c r="I91" s="40">
        <f>J91*O91</f>
        <v>0</v>
      </c>
      <c r="J91" s="49">
        <f>H91-N91</f>
        <v>0</v>
      </c>
      <c r="K91" s="4"/>
      <c r="L91" s="4"/>
      <c r="M91" s="191">
        <f>N91*O91</f>
        <v>0</v>
      </c>
      <c r="N91" s="4"/>
      <c r="O91" s="22">
        <v>12600</v>
      </c>
      <c r="P91" s="4" t="s">
        <v>48</v>
      </c>
      <c r="Q91" s="45" t="s">
        <v>135</v>
      </c>
      <c r="R91" s="63" t="s">
        <v>158</v>
      </c>
      <c r="S91" s="36" t="s">
        <v>134</v>
      </c>
    </row>
    <row r="92" spans="2:20" ht="31.5" hidden="1" customHeight="1" thickBot="1">
      <c r="D92" s="57"/>
      <c r="F92" s="57"/>
      <c r="G92" s="414">
        <f>SUM(G87:G91)</f>
        <v>579830685.00666642</v>
      </c>
      <c r="H92" s="415"/>
      <c r="I92" s="430">
        <f>SUM(I87:I91)</f>
        <v>193332405.00666648</v>
      </c>
      <c r="J92" s="430"/>
      <c r="K92" s="423">
        <f>SUM(K87:K91)</f>
        <v>0</v>
      </c>
      <c r="L92" s="423"/>
      <c r="M92" s="423">
        <f>SUM(M87:M91)</f>
        <v>386498280</v>
      </c>
      <c r="N92" s="423"/>
      <c r="O92" s="423"/>
      <c r="P92" s="423"/>
      <c r="Q92" s="164" t="s">
        <v>7</v>
      </c>
      <c r="R92" s="165"/>
      <c r="S92" s="213"/>
    </row>
    <row r="93" spans="2:20" ht="27.75" hidden="1" customHeight="1">
      <c r="D93" s="186"/>
      <c r="F93" s="186"/>
      <c r="G93" s="187"/>
      <c r="H93" s="188"/>
      <c r="I93" s="189"/>
      <c r="J93" s="189"/>
      <c r="K93" s="188"/>
      <c r="L93" s="188"/>
      <c r="M93" s="201" t="s">
        <v>183</v>
      </c>
      <c r="N93" s="188"/>
      <c r="O93" s="190"/>
      <c r="P93" s="188"/>
      <c r="Q93" s="188" t="s">
        <v>8</v>
      </c>
      <c r="R93" s="188"/>
      <c r="S93" s="215"/>
    </row>
    <row r="94" spans="2:20" ht="28.5" hidden="1" customHeight="1">
      <c r="D94" s="5">
        <v>650</v>
      </c>
      <c r="F94" s="5"/>
      <c r="G94" s="191">
        <f>H94*O94</f>
        <v>11505000</v>
      </c>
      <c r="H94" s="1">
        <v>650</v>
      </c>
      <c r="I94" s="40">
        <f>J94*O94</f>
        <v>11505000</v>
      </c>
      <c r="J94" s="49">
        <f>H94-N94</f>
        <v>650</v>
      </c>
      <c r="K94" s="6"/>
      <c r="L94" s="4"/>
      <c r="M94" s="191"/>
      <c r="N94" s="4"/>
      <c r="O94" s="22">
        <v>17700</v>
      </c>
      <c r="P94" s="6" t="s">
        <v>48</v>
      </c>
      <c r="Q94" s="45" t="s">
        <v>250</v>
      </c>
      <c r="R94" s="6" t="s">
        <v>158</v>
      </c>
      <c r="S94" s="34" t="s">
        <v>249</v>
      </c>
    </row>
    <row r="95" spans="2:20" ht="28.5" hidden="1" customHeight="1">
      <c r="D95" s="5"/>
      <c r="F95" s="5"/>
      <c r="G95" s="191">
        <f>H95*O95</f>
        <v>0</v>
      </c>
      <c r="H95" s="1"/>
      <c r="I95" s="40">
        <f>J95*O95</f>
        <v>0</v>
      </c>
      <c r="J95" s="49">
        <f>H95-N95</f>
        <v>0</v>
      </c>
      <c r="K95" s="6"/>
      <c r="L95" s="4"/>
      <c r="M95" s="191"/>
      <c r="N95" s="4"/>
      <c r="O95" s="22">
        <v>12500</v>
      </c>
      <c r="P95" s="6" t="s">
        <v>48</v>
      </c>
      <c r="Q95" s="45" t="s">
        <v>119</v>
      </c>
      <c r="R95" s="6" t="s">
        <v>158</v>
      </c>
      <c r="S95" s="207">
        <v>110301</v>
      </c>
      <c r="T95" s="27"/>
    </row>
    <row r="96" spans="2:20" ht="28.5" hidden="1" customHeight="1" thickBot="1">
      <c r="D96" s="185">
        <v>1220</v>
      </c>
      <c r="F96" s="185"/>
      <c r="G96" s="191">
        <f>H96*O96</f>
        <v>54900000</v>
      </c>
      <c r="H96" s="43">
        <v>1220</v>
      </c>
      <c r="I96" s="40">
        <f>J96*O96</f>
        <v>900000</v>
      </c>
      <c r="J96" s="49">
        <f>H96-N96</f>
        <v>20</v>
      </c>
      <c r="K96" s="8"/>
      <c r="L96" s="15"/>
      <c r="M96" s="197">
        <f>N96*O96</f>
        <v>54000000</v>
      </c>
      <c r="N96" s="15">
        <v>1200</v>
      </c>
      <c r="O96" s="23">
        <v>45000</v>
      </c>
      <c r="P96" s="8" t="s">
        <v>48</v>
      </c>
      <c r="Q96" s="198" t="s">
        <v>233</v>
      </c>
      <c r="R96" s="8" t="s">
        <v>159</v>
      </c>
      <c r="S96" s="209">
        <v>110304</v>
      </c>
      <c r="T96" s="27"/>
    </row>
    <row r="97" spans="2:19" ht="28.5" hidden="1" customHeight="1" thickBot="1">
      <c r="D97" s="193"/>
      <c r="F97" s="193"/>
      <c r="G97" s="404">
        <f>SUM(G94:G96)</f>
        <v>66405000</v>
      </c>
      <c r="H97" s="405"/>
      <c r="I97" s="410">
        <f>SUM(I94:I96)</f>
        <v>12405000</v>
      </c>
      <c r="J97" s="410"/>
      <c r="K97" s="431">
        <f>SUM(K94:K96)</f>
        <v>0</v>
      </c>
      <c r="L97" s="431"/>
      <c r="M97" s="431">
        <f>SUM(M94:M96)</f>
        <v>54000000</v>
      </c>
      <c r="N97" s="431"/>
      <c r="O97" s="195"/>
      <c r="P97" s="194"/>
      <c r="Q97" s="194" t="s">
        <v>10</v>
      </c>
      <c r="R97" s="196"/>
      <c r="S97" s="216"/>
    </row>
    <row r="98" spans="2:19" ht="49.5" hidden="1" customHeight="1" thickBot="1">
      <c r="G98" s="101"/>
      <c r="H98" s="17"/>
      <c r="I98" s="52"/>
      <c r="J98" s="52"/>
      <c r="K98" s="17"/>
      <c r="L98" s="17"/>
      <c r="M98" s="101"/>
      <c r="N98" s="17"/>
      <c r="O98" s="24"/>
      <c r="P98" s="17"/>
      <c r="Q98" s="18"/>
      <c r="R98" s="18"/>
      <c r="S98" s="210"/>
    </row>
    <row r="99" spans="2:19" ht="25.5" hidden="1" customHeight="1">
      <c r="D99" s="77"/>
      <c r="F99" s="173"/>
      <c r="G99" s="382" t="s">
        <v>300</v>
      </c>
      <c r="H99" s="382"/>
      <c r="I99" s="382" t="s">
        <v>145</v>
      </c>
      <c r="J99" s="382"/>
      <c r="K99" s="78"/>
      <c r="L99" s="78"/>
      <c r="M99" s="199"/>
      <c r="N99" s="78"/>
      <c r="O99" s="79"/>
      <c r="P99" s="78"/>
      <c r="Q99" s="80" t="s">
        <v>171</v>
      </c>
      <c r="R99" s="41"/>
      <c r="S99" s="219"/>
    </row>
    <row r="100" spans="2:19" ht="25.5" hidden="1" customHeight="1">
      <c r="D100" s="81"/>
      <c r="F100" s="174"/>
      <c r="G100" s="96"/>
      <c r="H100" s="82"/>
      <c r="I100" s="83"/>
      <c r="J100" s="143" t="s">
        <v>146</v>
      </c>
      <c r="K100" s="144"/>
      <c r="L100" s="144"/>
      <c r="M100" s="200"/>
      <c r="N100" s="144"/>
      <c r="O100" s="135"/>
      <c r="P100" s="144"/>
      <c r="Q100" s="84" t="s">
        <v>292</v>
      </c>
      <c r="R100" s="56"/>
      <c r="S100" s="175"/>
    </row>
    <row r="101" spans="2:19" ht="25.5" hidden="1" customHeight="1" thickBot="1">
      <c r="D101" s="85"/>
      <c r="F101" s="85"/>
      <c r="G101" s="145"/>
      <c r="H101" s="136"/>
      <c r="I101" s="146"/>
      <c r="J101" s="146"/>
      <c r="K101" s="136"/>
      <c r="L101" s="136"/>
      <c r="M101" s="202" t="s">
        <v>183</v>
      </c>
      <c r="N101" s="136"/>
      <c r="O101" s="136"/>
      <c r="P101" s="136"/>
      <c r="Q101" s="86" t="s">
        <v>206</v>
      </c>
      <c r="R101" s="42"/>
      <c r="S101" s="205"/>
    </row>
    <row r="102" spans="2:19" ht="30" hidden="1" customHeight="1">
      <c r="D102" s="385" t="s">
        <v>144</v>
      </c>
      <c r="F102" s="385" t="s">
        <v>144</v>
      </c>
      <c r="G102" s="406" t="s">
        <v>63</v>
      </c>
      <c r="H102" s="406"/>
      <c r="I102" s="409" t="s">
        <v>170</v>
      </c>
      <c r="J102" s="409"/>
      <c r="K102" s="401" t="s">
        <v>2</v>
      </c>
      <c r="L102" s="401"/>
      <c r="M102" s="401" t="s">
        <v>169</v>
      </c>
      <c r="N102" s="401"/>
      <c r="O102" s="426" t="s">
        <v>139</v>
      </c>
      <c r="P102" s="401" t="s">
        <v>1</v>
      </c>
      <c r="Q102" s="401" t="s">
        <v>138</v>
      </c>
      <c r="R102" s="62"/>
      <c r="S102" s="424" t="s">
        <v>0</v>
      </c>
    </row>
    <row r="103" spans="2:19" ht="30" hidden="1" customHeight="1">
      <c r="D103" s="386"/>
      <c r="F103" s="386"/>
      <c r="G103" s="97" t="s">
        <v>143</v>
      </c>
      <c r="H103" s="49" t="s">
        <v>142</v>
      </c>
      <c r="I103" s="49" t="s">
        <v>143</v>
      </c>
      <c r="J103" s="49" t="s">
        <v>142</v>
      </c>
      <c r="K103" s="1" t="s">
        <v>4</v>
      </c>
      <c r="L103" s="1" t="s">
        <v>3</v>
      </c>
      <c r="M103" s="100" t="s">
        <v>141</v>
      </c>
      <c r="N103" s="1" t="s">
        <v>140</v>
      </c>
      <c r="O103" s="427"/>
      <c r="P103" s="422"/>
      <c r="Q103" s="422"/>
      <c r="R103" s="2"/>
      <c r="S103" s="425"/>
    </row>
    <row r="104" spans="2:19" ht="30" hidden="1" customHeight="1">
      <c r="D104" s="55"/>
      <c r="F104" s="55"/>
      <c r="G104" s="100">
        <f>H104*O104</f>
        <v>0</v>
      </c>
      <c r="H104" s="49"/>
      <c r="I104" s="40">
        <f>J104*O104</f>
        <v>0</v>
      </c>
      <c r="J104" s="49">
        <f>H104-N104</f>
        <v>0</v>
      </c>
      <c r="K104" s="1"/>
      <c r="L104" s="1"/>
      <c r="M104" s="191">
        <f>N104*O104</f>
        <v>0</v>
      </c>
      <c r="N104" s="1"/>
      <c r="O104" s="22">
        <v>220000</v>
      </c>
      <c r="P104" s="6" t="s">
        <v>35</v>
      </c>
      <c r="Q104" s="45" t="s">
        <v>219</v>
      </c>
      <c r="R104" s="2"/>
      <c r="S104" s="34" t="s">
        <v>218</v>
      </c>
    </row>
    <row r="105" spans="2:19" ht="39" hidden="1" customHeight="1">
      <c r="D105" s="20"/>
      <c r="F105" s="20"/>
      <c r="G105" s="100">
        <f t="shared" ref="G105:G120" si="12">H105*O105</f>
        <v>0</v>
      </c>
      <c r="H105" s="1"/>
      <c r="I105" s="40">
        <f t="shared" ref="I105:I120" si="13">J105*O105</f>
        <v>0</v>
      </c>
      <c r="J105" s="49">
        <f t="shared" ref="J105:J120" si="14">H105-N105</f>
        <v>0</v>
      </c>
      <c r="K105" s="6"/>
      <c r="L105" s="6"/>
      <c r="M105" s="191">
        <f t="shared" ref="M105:M120" si="15">N105*O105</f>
        <v>0</v>
      </c>
      <c r="N105" s="6"/>
      <c r="O105" s="22">
        <v>249500</v>
      </c>
      <c r="P105" s="6" t="s">
        <v>35</v>
      </c>
      <c r="Q105" s="45" t="s">
        <v>182</v>
      </c>
      <c r="R105" s="66" t="s">
        <v>158</v>
      </c>
      <c r="S105" s="34">
        <v>120103</v>
      </c>
    </row>
    <row r="106" spans="2:19" ht="39" hidden="1" customHeight="1">
      <c r="B106" s="259">
        <v>893</v>
      </c>
      <c r="C106" s="3">
        <v>2150</v>
      </c>
      <c r="D106" s="20">
        <v>416.5</v>
      </c>
      <c r="F106" s="20"/>
      <c r="G106" s="100">
        <f t="shared" si="12"/>
        <v>970249500</v>
      </c>
      <c r="H106" s="1">
        <f>416+2150+893</f>
        <v>3459</v>
      </c>
      <c r="I106" s="40">
        <f t="shared" si="13"/>
        <v>754264500</v>
      </c>
      <c r="J106" s="49">
        <f t="shared" si="14"/>
        <v>2689</v>
      </c>
      <c r="K106" s="6"/>
      <c r="L106" s="6"/>
      <c r="M106" s="191">
        <f t="shared" si="15"/>
        <v>215985000</v>
      </c>
      <c r="N106" s="6">
        <v>770</v>
      </c>
      <c r="O106" s="22">
        <v>280500</v>
      </c>
      <c r="P106" s="6" t="s">
        <v>35</v>
      </c>
      <c r="Q106" s="46" t="s">
        <v>120</v>
      </c>
      <c r="R106" s="66" t="s">
        <v>158</v>
      </c>
      <c r="S106" s="34">
        <v>120104</v>
      </c>
    </row>
    <row r="107" spans="2:19" ht="39" hidden="1" customHeight="1">
      <c r="D107" s="20">
        <v>92.36</v>
      </c>
      <c r="F107" s="20"/>
      <c r="G107" s="100">
        <f t="shared" si="12"/>
        <v>31096000</v>
      </c>
      <c r="H107" s="1">
        <v>92</v>
      </c>
      <c r="I107" s="40">
        <f t="shared" si="13"/>
        <v>0</v>
      </c>
      <c r="J107" s="49">
        <f t="shared" si="14"/>
        <v>0</v>
      </c>
      <c r="K107" s="6"/>
      <c r="L107" s="6"/>
      <c r="M107" s="191">
        <f t="shared" si="15"/>
        <v>31096000</v>
      </c>
      <c r="N107" s="4">
        <v>92</v>
      </c>
      <c r="O107" s="22">
        <v>338000</v>
      </c>
      <c r="P107" s="6" t="s">
        <v>35</v>
      </c>
      <c r="Q107" s="46" t="s">
        <v>51</v>
      </c>
      <c r="R107" s="66" t="s">
        <v>158</v>
      </c>
      <c r="S107" s="207" t="s">
        <v>49</v>
      </c>
    </row>
    <row r="108" spans="2:19" ht="39" hidden="1" customHeight="1">
      <c r="D108" s="20">
        <v>708.39</v>
      </c>
      <c r="F108" s="20"/>
      <c r="G108" s="100">
        <f t="shared" si="12"/>
        <v>258774000</v>
      </c>
      <c r="H108" s="1">
        <v>708</v>
      </c>
      <c r="I108" s="40">
        <f t="shared" si="13"/>
        <v>-17909500</v>
      </c>
      <c r="J108" s="49">
        <f t="shared" si="14"/>
        <v>-49</v>
      </c>
      <c r="K108" s="6"/>
      <c r="L108" s="6"/>
      <c r="M108" s="191">
        <f t="shared" si="15"/>
        <v>276683500</v>
      </c>
      <c r="N108" s="4">
        <v>757</v>
      </c>
      <c r="O108" s="22">
        <v>365500</v>
      </c>
      <c r="P108" s="6" t="s">
        <v>35</v>
      </c>
      <c r="Q108" s="46" t="s">
        <v>160</v>
      </c>
      <c r="R108" s="66" t="s">
        <v>158</v>
      </c>
      <c r="S108" s="207">
        <v>120107</v>
      </c>
    </row>
    <row r="109" spans="2:19" ht="39" hidden="1" customHeight="1">
      <c r="D109" s="20"/>
      <c r="F109" s="20"/>
      <c r="G109" s="100">
        <f t="shared" si="12"/>
        <v>0</v>
      </c>
      <c r="H109" s="1"/>
      <c r="I109" s="40">
        <f t="shared" si="13"/>
        <v>0</v>
      </c>
      <c r="J109" s="49">
        <f t="shared" si="14"/>
        <v>0</v>
      </c>
      <c r="K109" s="6"/>
      <c r="L109" s="6"/>
      <c r="M109" s="191">
        <f t="shared" si="15"/>
        <v>0</v>
      </c>
      <c r="N109" s="4"/>
      <c r="O109" s="22">
        <v>25400</v>
      </c>
      <c r="P109" s="6" t="s">
        <v>35</v>
      </c>
      <c r="Q109" s="46" t="s">
        <v>161</v>
      </c>
      <c r="R109" s="66" t="s">
        <v>158</v>
      </c>
      <c r="S109" s="207">
        <v>120110</v>
      </c>
    </row>
    <row r="110" spans="2:19" ht="39" hidden="1" customHeight="1">
      <c r="C110" s="3">
        <v>1800</v>
      </c>
      <c r="D110" s="20">
        <v>118.37</v>
      </c>
      <c r="F110" s="20"/>
      <c r="G110" s="100">
        <f t="shared" si="12"/>
        <v>37796000</v>
      </c>
      <c r="H110" s="1">
        <f>118+1600</f>
        <v>1718</v>
      </c>
      <c r="I110" s="40">
        <f t="shared" si="13"/>
        <v>18832000</v>
      </c>
      <c r="J110" s="49">
        <f t="shared" si="14"/>
        <v>856</v>
      </c>
      <c r="K110" s="6"/>
      <c r="L110" s="6"/>
      <c r="M110" s="191">
        <f t="shared" si="15"/>
        <v>18964000</v>
      </c>
      <c r="N110" s="4">
        <v>862</v>
      </c>
      <c r="O110" s="22">
        <v>22000</v>
      </c>
      <c r="P110" s="6" t="s">
        <v>35</v>
      </c>
      <c r="Q110" s="46" t="s">
        <v>121</v>
      </c>
      <c r="R110" s="66" t="s">
        <v>158</v>
      </c>
      <c r="S110" s="207">
        <v>120302</v>
      </c>
    </row>
    <row r="111" spans="2:19" ht="39" hidden="1" customHeight="1">
      <c r="C111" s="3">
        <f>2300-1800</f>
        <v>500</v>
      </c>
      <c r="D111" s="20">
        <v>709.89</v>
      </c>
      <c r="F111" s="20"/>
      <c r="G111" s="100">
        <f t="shared" si="12"/>
        <v>45469000</v>
      </c>
      <c r="H111" s="1">
        <f>709+400</f>
        <v>1109</v>
      </c>
      <c r="I111" s="40">
        <f t="shared" si="13"/>
        <v>14432000</v>
      </c>
      <c r="J111" s="49">
        <f t="shared" si="14"/>
        <v>352</v>
      </c>
      <c r="K111" s="6"/>
      <c r="L111" s="6"/>
      <c r="M111" s="191">
        <f t="shared" si="15"/>
        <v>31037000</v>
      </c>
      <c r="N111" s="4">
        <v>757</v>
      </c>
      <c r="O111" s="22">
        <v>41000</v>
      </c>
      <c r="P111" s="6" t="s">
        <v>35</v>
      </c>
      <c r="Q111" s="46" t="s">
        <v>122</v>
      </c>
      <c r="R111" s="66" t="s">
        <v>158</v>
      </c>
      <c r="S111" s="207">
        <v>120303</v>
      </c>
    </row>
    <row r="112" spans="2:19" ht="39" hidden="1" customHeight="1">
      <c r="D112" s="20"/>
      <c r="F112" s="20"/>
      <c r="G112" s="100">
        <f t="shared" si="12"/>
        <v>0</v>
      </c>
      <c r="H112" s="1"/>
      <c r="I112" s="40">
        <f t="shared" si="13"/>
        <v>0</v>
      </c>
      <c r="J112" s="49">
        <f t="shared" si="14"/>
        <v>0</v>
      </c>
      <c r="K112" s="6"/>
      <c r="L112" s="6"/>
      <c r="M112" s="191">
        <f t="shared" si="15"/>
        <v>0</v>
      </c>
      <c r="N112" s="4"/>
      <c r="O112" s="108">
        <v>29300</v>
      </c>
      <c r="P112" s="6" t="s">
        <v>35</v>
      </c>
      <c r="Q112" s="46" t="s">
        <v>123</v>
      </c>
      <c r="R112" s="66" t="s">
        <v>158</v>
      </c>
      <c r="S112" s="207">
        <v>120305</v>
      </c>
    </row>
    <row r="113" spans="2:19" ht="39" hidden="1" customHeight="1">
      <c r="D113" s="20"/>
      <c r="F113" s="20"/>
      <c r="G113" s="100">
        <f t="shared" si="12"/>
        <v>0</v>
      </c>
      <c r="H113" s="1"/>
      <c r="I113" s="40">
        <f t="shared" si="13"/>
        <v>0</v>
      </c>
      <c r="J113" s="49">
        <f t="shared" si="14"/>
        <v>0</v>
      </c>
      <c r="K113" s="6"/>
      <c r="L113" s="6"/>
      <c r="M113" s="191">
        <f t="shared" si="15"/>
        <v>0</v>
      </c>
      <c r="N113" s="4"/>
      <c r="O113" s="22">
        <v>26400</v>
      </c>
      <c r="P113" s="6" t="s">
        <v>35</v>
      </c>
      <c r="Q113" s="46" t="s">
        <v>124</v>
      </c>
      <c r="R113" s="66" t="s">
        <v>158</v>
      </c>
      <c r="S113" s="207">
        <v>120307</v>
      </c>
    </row>
    <row r="114" spans="2:19" ht="39" hidden="1" customHeight="1">
      <c r="D114" s="20">
        <v>800.75</v>
      </c>
      <c r="F114" s="20"/>
      <c r="G114" s="100">
        <f t="shared" si="12"/>
        <v>4416000</v>
      </c>
      <c r="H114" s="203">
        <v>800</v>
      </c>
      <c r="I114" s="40">
        <f t="shared" si="13"/>
        <v>-270480</v>
      </c>
      <c r="J114" s="49">
        <f t="shared" si="14"/>
        <v>-49</v>
      </c>
      <c r="K114" s="6"/>
      <c r="L114" s="6"/>
      <c r="M114" s="191">
        <f t="shared" si="15"/>
        <v>4686480</v>
      </c>
      <c r="N114" s="4">
        <v>849</v>
      </c>
      <c r="O114" s="22">
        <v>5520</v>
      </c>
      <c r="P114" s="6" t="s">
        <v>35</v>
      </c>
      <c r="Q114" s="46" t="s">
        <v>52</v>
      </c>
      <c r="R114" s="66" t="s">
        <v>158</v>
      </c>
      <c r="S114" s="207" t="s">
        <v>50</v>
      </c>
    </row>
    <row r="115" spans="2:19" ht="39" hidden="1" customHeight="1">
      <c r="B115" s="259" t="s">
        <v>270</v>
      </c>
      <c r="C115" s="3" t="s">
        <v>296</v>
      </c>
      <c r="D115" s="110"/>
      <c r="F115" s="110"/>
      <c r="G115" s="100">
        <f t="shared" si="12"/>
        <v>12172000</v>
      </c>
      <c r="H115" s="1">
        <f>2150*250+223250</f>
        <v>760750</v>
      </c>
      <c r="I115" s="40">
        <f t="shared" si="13"/>
        <v>12172000</v>
      </c>
      <c r="J115" s="49">
        <f t="shared" si="14"/>
        <v>760750</v>
      </c>
      <c r="K115" s="6"/>
      <c r="L115" s="6"/>
      <c r="M115" s="191">
        <f t="shared" si="15"/>
        <v>0</v>
      </c>
      <c r="N115" s="4"/>
      <c r="O115" s="22">
        <v>16</v>
      </c>
      <c r="P115" s="6" t="s">
        <v>48</v>
      </c>
      <c r="Q115" s="46" t="s">
        <v>162</v>
      </c>
      <c r="R115" s="66" t="s">
        <v>158</v>
      </c>
      <c r="S115" s="207">
        <v>120701</v>
      </c>
    </row>
    <row r="116" spans="2:19" ht="39" hidden="1" customHeight="1">
      <c r="D116" s="110">
        <v>413319.5</v>
      </c>
      <c r="F116" s="110"/>
      <c r="G116" s="100">
        <f t="shared" si="12"/>
        <v>13226208</v>
      </c>
      <c r="H116" s="1">
        <v>413319</v>
      </c>
      <c r="I116" s="40">
        <f t="shared" si="13"/>
        <v>-3653792</v>
      </c>
      <c r="J116" s="49">
        <f t="shared" si="14"/>
        <v>-114181</v>
      </c>
      <c r="K116" s="6"/>
      <c r="L116" s="6"/>
      <c r="M116" s="191">
        <f t="shared" si="15"/>
        <v>16880000</v>
      </c>
      <c r="N116" s="4">
        <v>527500</v>
      </c>
      <c r="O116" s="22">
        <v>32</v>
      </c>
      <c r="P116" s="6" t="s">
        <v>48</v>
      </c>
      <c r="Q116" s="45" t="s">
        <v>235</v>
      </c>
      <c r="R116" s="66" t="s">
        <v>158</v>
      </c>
      <c r="S116" s="34" t="s">
        <v>234</v>
      </c>
    </row>
    <row r="117" spans="2:19" ht="39" hidden="1" customHeight="1">
      <c r="D117" s="110">
        <v>11000</v>
      </c>
      <c r="F117" s="110"/>
      <c r="G117" s="100">
        <f t="shared" si="12"/>
        <v>6545000</v>
      </c>
      <c r="H117" s="1">
        <v>11000</v>
      </c>
      <c r="I117" s="40">
        <f t="shared" si="13"/>
        <v>6545000</v>
      </c>
      <c r="J117" s="49">
        <f t="shared" si="14"/>
        <v>11000</v>
      </c>
      <c r="K117" s="6"/>
      <c r="L117" s="6"/>
      <c r="M117" s="191">
        <f t="shared" si="15"/>
        <v>0</v>
      </c>
      <c r="N117" s="4"/>
      <c r="O117" s="169">
        <v>595</v>
      </c>
      <c r="P117" s="166" t="s">
        <v>204</v>
      </c>
      <c r="Q117" s="167" t="s">
        <v>205</v>
      </c>
      <c r="R117" s="66" t="s">
        <v>158</v>
      </c>
      <c r="S117" s="207">
        <v>120703</v>
      </c>
    </row>
    <row r="118" spans="2:19" ht="39" hidden="1" customHeight="1">
      <c r="B118" s="259" t="s">
        <v>271</v>
      </c>
      <c r="C118" s="3" t="s">
        <v>297</v>
      </c>
      <c r="D118" s="57">
        <v>17156.169999999998</v>
      </c>
      <c r="F118" s="57"/>
      <c r="G118" s="100">
        <f t="shared" si="12"/>
        <v>100991020</v>
      </c>
      <c r="H118" s="58">
        <f>17156+2150*14+893*14</f>
        <v>59758</v>
      </c>
      <c r="I118" s="40">
        <f t="shared" si="13"/>
        <v>62413390</v>
      </c>
      <c r="J118" s="49">
        <f t="shared" si="14"/>
        <v>36931</v>
      </c>
      <c r="K118" s="7"/>
      <c r="L118" s="59"/>
      <c r="M118" s="191">
        <f t="shared" si="15"/>
        <v>38577630</v>
      </c>
      <c r="N118" s="168">
        <v>22827</v>
      </c>
      <c r="O118" s="60">
        <v>1690</v>
      </c>
      <c r="P118" s="4" t="s">
        <v>44</v>
      </c>
      <c r="Q118" s="74" t="s">
        <v>163</v>
      </c>
      <c r="R118" s="66" t="s">
        <v>158</v>
      </c>
      <c r="S118" s="213">
        <v>120801</v>
      </c>
    </row>
    <row r="119" spans="2:19" ht="39" hidden="1" customHeight="1">
      <c r="B119" s="259" t="s">
        <v>272</v>
      </c>
      <c r="C119" s="3" t="s">
        <v>298</v>
      </c>
      <c r="D119" s="57">
        <v>19358.900000000001</v>
      </c>
      <c r="F119" s="57"/>
      <c r="G119" s="100">
        <f t="shared" si="12"/>
        <v>53861780</v>
      </c>
      <c r="H119" s="58">
        <f>19358+2150*1.3*9+10448</f>
        <v>54961</v>
      </c>
      <c r="I119" s="40">
        <f t="shared" si="13"/>
        <v>32781980</v>
      </c>
      <c r="J119" s="49">
        <f t="shared" si="14"/>
        <v>33451</v>
      </c>
      <c r="K119" s="7"/>
      <c r="L119" s="59"/>
      <c r="M119" s="191">
        <f t="shared" si="15"/>
        <v>21079800</v>
      </c>
      <c r="N119" s="73">
        <v>21510</v>
      </c>
      <c r="O119" s="60">
        <v>980</v>
      </c>
      <c r="P119" s="4" t="s">
        <v>44</v>
      </c>
      <c r="Q119" s="74" t="s">
        <v>164</v>
      </c>
      <c r="R119" s="66" t="s">
        <v>158</v>
      </c>
      <c r="S119" s="213">
        <v>121001</v>
      </c>
    </row>
    <row r="120" spans="2:19" ht="39" hidden="1" customHeight="1">
      <c r="B120" s="259" t="s">
        <v>273</v>
      </c>
      <c r="C120" s="266" t="s">
        <v>299</v>
      </c>
      <c r="D120" s="57">
        <v>64529.75</v>
      </c>
      <c r="F120" s="57"/>
      <c r="G120" s="100">
        <f t="shared" si="12"/>
        <v>155725100</v>
      </c>
      <c r="H120" s="58">
        <f>34827+2150*1.3*30+64529</f>
        <v>183206</v>
      </c>
      <c r="I120" s="40">
        <f t="shared" si="13"/>
        <v>94780100</v>
      </c>
      <c r="J120" s="49">
        <f t="shared" si="14"/>
        <v>111506</v>
      </c>
      <c r="K120" s="7"/>
      <c r="L120" s="59"/>
      <c r="M120" s="191">
        <f t="shared" si="15"/>
        <v>60945000</v>
      </c>
      <c r="N120" s="73">
        <v>71700</v>
      </c>
      <c r="O120" s="60">
        <v>850</v>
      </c>
      <c r="P120" s="4" t="s">
        <v>44</v>
      </c>
      <c r="Q120" s="74" t="s">
        <v>165</v>
      </c>
      <c r="R120" s="66" t="s">
        <v>158</v>
      </c>
      <c r="S120" s="213">
        <v>121002</v>
      </c>
    </row>
    <row r="121" spans="2:19" ht="39" hidden="1" customHeight="1" thickBot="1">
      <c r="D121" s="21"/>
      <c r="F121" s="21"/>
      <c r="G121" s="397">
        <f>SUM(G104:G120)</f>
        <v>1690321608</v>
      </c>
      <c r="H121" s="398"/>
      <c r="I121" s="402">
        <f>SUM(I104:I120)</f>
        <v>974387198</v>
      </c>
      <c r="J121" s="402"/>
      <c r="K121" s="400">
        <f>SUM(K105:K117)</f>
        <v>0</v>
      </c>
      <c r="L121" s="400"/>
      <c r="M121" s="400">
        <f>SUM(M104:M120)</f>
        <v>715934410</v>
      </c>
      <c r="N121" s="400"/>
      <c r="O121" s="39"/>
      <c r="P121" s="115"/>
      <c r="Q121" s="115" t="s">
        <v>11</v>
      </c>
      <c r="R121" s="67"/>
      <c r="S121" s="209"/>
    </row>
    <row r="122" spans="2:19" ht="49.5" hidden="1" customHeight="1" thickBot="1">
      <c r="D122" s="13"/>
      <c r="F122" s="13"/>
      <c r="G122" s="99"/>
      <c r="H122" s="37"/>
      <c r="I122" s="50"/>
      <c r="J122" s="50"/>
      <c r="K122" s="44"/>
      <c r="L122" s="44"/>
      <c r="M122" s="99"/>
      <c r="N122" s="37"/>
      <c r="O122" s="24"/>
      <c r="P122" s="17"/>
      <c r="Q122" s="17"/>
      <c r="R122" s="17"/>
      <c r="S122" s="210"/>
    </row>
    <row r="123" spans="2:19" ht="25.5" hidden="1" customHeight="1">
      <c r="D123" s="77"/>
      <c r="F123" s="173"/>
      <c r="G123" s="382" t="s">
        <v>300</v>
      </c>
      <c r="H123" s="382"/>
      <c r="I123" s="382" t="s">
        <v>145</v>
      </c>
      <c r="J123" s="382"/>
      <c r="K123" s="78"/>
      <c r="L123" s="78"/>
      <c r="M123" s="199"/>
      <c r="N123" s="78"/>
      <c r="O123" s="79"/>
      <c r="P123" s="78"/>
      <c r="Q123" s="80" t="s">
        <v>171</v>
      </c>
      <c r="R123" s="41"/>
      <c r="S123" s="219"/>
    </row>
    <row r="124" spans="2:19" ht="25.5" hidden="1" customHeight="1">
      <c r="D124" s="81"/>
      <c r="F124" s="174"/>
      <c r="G124" s="96"/>
      <c r="H124" s="82"/>
      <c r="I124" s="83"/>
      <c r="J124" s="143" t="s">
        <v>146</v>
      </c>
      <c r="K124" s="144"/>
      <c r="L124" s="144"/>
      <c r="M124" s="200"/>
      <c r="N124" s="144"/>
      <c r="O124" s="135"/>
      <c r="P124" s="144"/>
      <c r="Q124" s="84" t="s">
        <v>292</v>
      </c>
      <c r="R124" s="56"/>
      <c r="S124" s="175"/>
    </row>
    <row r="125" spans="2:19" ht="25.5" hidden="1" customHeight="1" thickBot="1">
      <c r="D125" s="85"/>
      <c r="F125" s="85"/>
      <c r="G125" s="145"/>
      <c r="H125" s="136"/>
      <c r="I125" s="146"/>
      <c r="J125" s="146"/>
      <c r="K125" s="136"/>
      <c r="L125" s="136"/>
      <c r="M125" s="202" t="s">
        <v>183</v>
      </c>
      <c r="N125" s="136"/>
      <c r="O125" s="136"/>
      <c r="P125" s="136"/>
      <c r="Q125" s="86" t="s">
        <v>207</v>
      </c>
      <c r="R125" s="42"/>
      <c r="S125" s="205"/>
    </row>
    <row r="126" spans="2:19" ht="30" hidden="1" customHeight="1">
      <c r="D126" s="385" t="s">
        <v>144</v>
      </c>
      <c r="F126" s="385" t="s">
        <v>144</v>
      </c>
      <c r="G126" s="406" t="s">
        <v>63</v>
      </c>
      <c r="H126" s="406"/>
      <c r="I126" s="409" t="s">
        <v>170</v>
      </c>
      <c r="J126" s="409"/>
      <c r="K126" s="401" t="s">
        <v>2</v>
      </c>
      <c r="L126" s="401"/>
      <c r="M126" s="401" t="s">
        <v>169</v>
      </c>
      <c r="N126" s="401"/>
      <c r="O126" s="426" t="s">
        <v>139</v>
      </c>
      <c r="P126" s="401" t="s">
        <v>1</v>
      </c>
      <c r="Q126" s="401" t="s">
        <v>138</v>
      </c>
      <c r="R126" s="62"/>
      <c r="S126" s="424" t="s">
        <v>0</v>
      </c>
    </row>
    <row r="127" spans="2:19" ht="30" hidden="1" customHeight="1">
      <c r="D127" s="386"/>
      <c r="F127" s="386"/>
      <c r="G127" s="97" t="s">
        <v>143</v>
      </c>
      <c r="H127" s="49" t="s">
        <v>142</v>
      </c>
      <c r="I127" s="49" t="s">
        <v>143</v>
      </c>
      <c r="J127" s="49" t="s">
        <v>142</v>
      </c>
      <c r="K127" s="1" t="s">
        <v>4</v>
      </c>
      <c r="L127" s="1" t="s">
        <v>3</v>
      </c>
      <c r="M127" s="100" t="s">
        <v>141</v>
      </c>
      <c r="N127" s="1" t="s">
        <v>140</v>
      </c>
      <c r="O127" s="427"/>
      <c r="P127" s="422"/>
      <c r="Q127" s="422"/>
      <c r="R127" s="2"/>
      <c r="S127" s="425"/>
    </row>
    <row r="128" spans="2:19" ht="35.25" hidden="1" customHeight="1">
      <c r="D128" s="5"/>
      <c r="F128" s="5"/>
      <c r="G128" s="100"/>
      <c r="H128" s="1"/>
      <c r="I128" s="40">
        <f>J128*O128</f>
        <v>-103292000</v>
      </c>
      <c r="J128" s="49">
        <f>H128-N128</f>
        <v>-136</v>
      </c>
      <c r="K128" s="6"/>
      <c r="L128" s="6"/>
      <c r="M128" s="191">
        <f>N128*O128</f>
        <v>103292000</v>
      </c>
      <c r="N128" s="4">
        <v>136</v>
      </c>
      <c r="O128" s="22">
        <v>759500</v>
      </c>
      <c r="P128" s="6" t="s">
        <v>35</v>
      </c>
      <c r="Q128" s="46" t="s">
        <v>110</v>
      </c>
      <c r="R128" s="46" t="s">
        <v>158</v>
      </c>
      <c r="S128" s="207">
        <v>130804</v>
      </c>
    </row>
    <row r="129" spans="2:19" ht="35.25" hidden="1" customHeight="1">
      <c r="D129" s="5"/>
      <c r="F129" s="5"/>
      <c r="G129" s="100"/>
      <c r="H129" s="1"/>
      <c r="I129" s="40">
        <f>J129*O129</f>
        <v>-217550000</v>
      </c>
      <c r="J129" s="49">
        <f>H129-N129</f>
        <v>-380</v>
      </c>
      <c r="K129" s="6"/>
      <c r="L129" s="6"/>
      <c r="M129" s="191">
        <f>N129*O129</f>
        <v>217550000</v>
      </c>
      <c r="N129" s="4">
        <v>380</v>
      </c>
      <c r="O129" s="22">
        <v>572500</v>
      </c>
      <c r="P129" s="6" t="s">
        <v>35</v>
      </c>
      <c r="Q129" s="45" t="s">
        <v>237</v>
      </c>
      <c r="R129" s="46" t="s">
        <v>158</v>
      </c>
      <c r="S129" s="34" t="s">
        <v>236</v>
      </c>
    </row>
    <row r="130" spans="2:19" ht="35.25" hidden="1" customHeight="1">
      <c r="D130" s="5"/>
      <c r="F130" s="5"/>
      <c r="G130" s="100">
        <f>H130*O130</f>
        <v>7986000</v>
      </c>
      <c r="H130" s="1">
        <v>44</v>
      </c>
      <c r="I130" s="40">
        <f>J130*O130</f>
        <v>7986000</v>
      </c>
      <c r="J130" s="49">
        <f>H130-N130</f>
        <v>44</v>
      </c>
      <c r="K130" s="6"/>
      <c r="L130" s="6"/>
      <c r="M130" s="191">
        <f>N130*O130</f>
        <v>0</v>
      </c>
      <c r="N130" s="4"/>
      <c r="O130" s="22">
        <v>181500</v>
      </c>
      <c r="P130" s="6" t="s">
        <v>155</v>
      </c>
      <c r="Q130" s="46" t="s">
        <v>208</v>
      </c>
      <c r="R130" s="46" t="s">
        <v>158</v>
      </c>
      <c r="S130" s="207">
        <v>131109</v>
      </c>
    </row>
    <row r="131" spans="2:19" ht="27" hidden="1" customHeight="1" thickBot="1">
      <c r="D131" s="21"/>
      <c r="F131" s="21"/>
      <c r="G131" s="397">
        <f>SUM(G128:G130)</f>
        <v>7986000</v>
      </c>
      <c r="H131" s="398"/>
      <c r="I131" s="402">
        <f>SUM(I128:I130)</f>
        <v>-312856000</v>
      </c>
      <c r="J131" s="402"/>
      <c r="K131" s="400">
        <f>SUM(K128:K128)</f>
        <v>0</v>
      </c>
      <c r="L131" s="400"/>
      <c r="M131" s="400">
        <f>SUM(M128:M130)</f>
        <v>320842000</v>
      </c>
      <c r="N131" s="400"/>
      <c r="O131" s="39"/>
      <c r="P131" s="115"/>
      <c r="Q131" s="115" t="s">
        <v>111</v>
      </c>
      <c r="R131" s="15"/>
      <c r="S131" s="209"/>
    </row>
    <row r="132" spans="2:19" ht="25.5" hidden="1" customHeight="1" thickBot="1">
      <c r="D132" s="85"/>
      <c r="F132" s="85"/>
      <c r="G132" s="145"/>
      <c r="H132" s="136"/>
      <c r="I132" s="146"/>
      <c r="J132" s="146"/>
      <c r="K132" s="136"/>
      <c r="L132" s="136"/>
      <c r="M132" s="202" t="s">
        <v>183</v>
      </c>
      <c r="N132" s="136"/>
      <c r="O132" s="136"/>
      <c r="P132" s="136"/>
      <c r="Q132" s="86" t="s">
        <v>209</v>
      </c>
      <c r="R132" s="42"/>
      <c r="S132" s="205"/>
    </row>
    <row r="133" spans="2:19" ht="43.5" hidden="1" customHeight="1">
      <c r="D133" s="20">
        <v>7280</v>
      </c>
      <c r="F133" s="20"/>
      <c r="G133" s="100">
        <f t="shared" ref="G133:G143" si="16">H133*O133</f>
        <v>531440000</v>
      </c>
      <c r="H133" s="1">
        <v>7280</v>
      </c>
      <c r="I133" s="40">
        <f>J133*O133</f>
        <v>-577941000</v>
      </c>
      <c r="J133" s="49">
        <f>H133-N133</f>
        <v>-7917</v>
      </c>
      <c r="K133" s="6"/>
      <c r="L133" s="6"/>
      <c r="M133" s="113">
        <f t="shared" ref="M133:M143" si="17">N133*O133</f>
        <v>1109381000</v>
      </c>
      <c r="N133" s="4">
        <v>15197</v>
      </c>
      <c r="O133" s="22">
        <v>73000</v>
      </c>
      <c r="P133" s="6" t="s">
        <v>35</v>
      </c>
      <c r="Q133" s="45" t="s">
        <v>239</v>
      </c>
      <c r="R133" s="65" t="s">
        <v>158</v>
      </c>
      <c r="S133" s="34" t="s">
        <v>238</v>
      </c>
    </row>
    <row r="134" spans="2:19" ht="43.5" hidden="1" customHeight="1">
      <c r="D134" s="20"/>
      <c r="F134" s="20"/>
      <c r="G134" s="100">
        <f t="shared" si="16"/>
        <v>0</v>
      </c>
      <c r="H134" s="1"/>
      <c r="I134" s="40">
        <f t="shared" ref="I134:I143" si="18">J134*O134</f>
        <v>0</v>
      </c>
      <c r="J134" s="49">
        <f t="shared" ref="J134:J143" si="19">H134-N134</f>
        <v>0</v>
      </c>
      <c r="K134" s="6"/>
      <c r="L134" s="6"/>
      <c r="M134" s="100">
        <f t="shared" si="17"/>
        <v>0</v>
      </c>
      <c r="N134" s="4"/>
      <c r="O134" s="22">
        <v>6170</v>
      </c>
      <c r="P134" s="6" t="s">
        <v>35</v>
      </c>
      <c r="Q134" s="45" t="s">
        <v>166</v>
      </c>
      <c r="R134" s="65" t="s">
        <v>158</v>
      </c>
      <c r="S134" s="207">
        <v>140701</v>
      </c>
    </row>
    <row r="135" spans="2:19" ht="43.5" hidden="1" customHeight="1">
      <c r="D135" s="20"/>
      <c r="F135" s="20"/>
      <c r="G135" s="100">
        <f t="shared" si="16"/>
        <v>1064000</v>
      </c>
      <c r="H135" s="1">
        <v>140</v>
      </c>
      <c r="I135" s="40">
        <f t="shared" si="18"/>
        <v>1064000</v>
      </c>
      <c r="J135" s="49">
        <f t="shared" si="19"/>
        <v>140</v>
      </c>
      <c r="K135" s="6"/>
      <c r="L135" s="6"/>
      <c r="M135" s="100">
        <f t="shared" si="17"/>
        <v>0</v>
      </c>
      <c r="N135" s="4"/>
      <c r="O135" s="22">
        <v>7600</v>
      </c>
      <c r="P135" s="6" t="s">
        <v>35</v>
      </c>
      <c r="Q135" s="45" t="s">
        <v>136</v>
      </c>
      <c r="R135" s="65" t="s">
        <v>158</v>
      </c>
      <c r="S135" s="207">
        <v>140704</v>
      </c>
    </row>
    <row r="136" spans="2:19" ht="43.5" hidden="1" customHeight="1">
      <c r="D136" s="20"/>
      <c r="F136" s="20"/>
      <c r="G136" s="100">
        <f t="shared" si="16"/>
        <v>455000</v>
      </c>
      <c r="H136" s="1">
        <v>140</v>
      </c>
      <c r="I136" s="40">
        <f t="shared" si="18"/>
        <v>455000</v>
      </c>
      <c r="J136" s="49">
        <f t="shared" si="19"/>
        <v>140</v>
      </c>
      <c r="K136" s="6"/>
      <c r="L136" s="6"/>
      <c r="M136" s="100">
        <f t="shared" si="17"/>
        <v>0</v>
      </c>
      <c r="N136" s="4"/>
      <c r="O136" s="22">
        <v>3250</v>
      </c>
      <c r="P136" s="6" t="s">
        <v>35</v>
      </c>
      <c r="Q136" s="45" t="s">
        <v>167</v>
      </c>
      <c r="R136" s="65" t="s">
        <v>158</v>
      </c>
      <c r="S136" s="207">
        <v>140801</v>
      </c>
    </row>
    <row r="137" spans="2:19" ht="43.5" hidden="1" customHeight="1">
      <c r="B137" s="259">
        <v>950</v>
      </c>
      <c r="D137" s="20"/>
      <c r="F137" s="20"/>
      <c r="G137" s="100">
        <f t="shared" si="16"/>
        <v>72485000</v>
      </c>
      <c r="H137" s="1">
        <v>950</v>
      </c>
      <c r="I137" s="40">
        <f t="shared" si="18"/>
        <v>72485000</v>
      </c>
      <c r="J137" s="49">
        <f t="shared" si="19"/>
        <v>950</v>
      </c>
      <c r="K137" s="6"/>
      <c r="L137" s="6"/>
      <c r="M137" s="100">
        <f t="shared" si="17"/>
        <v>0</v>
      </c>
      <c r="N137" s="4"/>
      <c r="O137" s="22">
        <v>76300</v>
      </c>
      <c r="P137" s="6" t="s">
        <v>35</v>
      </c>
      <c r="Q137" s="45" t="s">
        <v>275</v>
      </c>
      <c r="R137" s="65" t="s">
        <v>158</v>
      </c>
      <c r="S137" s="207" t="s">
        <v>274</v>
      </c>
    </row>
    <row r="138" spans="2:19" ht="43.5" hidden="1" customHeight="1">
      <c r="D138" s="20"/>
      <c r="F138" s="20"/>
      <c r="G138" s="100">
        <f t="shared" si="16"/>
        <v>0</v>
      </c>
      <c r="H138" s="1"/>
      <c r="I138" s="40">
        <f t="shared" si="18"/>
        <v>0</v>
      </c>
      <c r="J138" s="49">
        <f t="shared" si="19"/>
        <v>0</v>
      </c>
      <c r="K138" s="6"/>
      <c r="L138" s="6"/>
      <c r="M138" s="100">
        <f t="shared" si="17"/>
        <v>0</v>
      </c>
      <c r="N138" s="4"/>
      <c r="O138" s="22">
        <v>9670</v>
      </c>
      <c r="P138" s="6" t="s">
        <v>35</v>
      </c>
      <c r="Q138" s="45" t="s">
        <v>137</v>
      </c>
      <c r="R138" s="65" t="s">
        <v>158</v>
      </c>
      <c r="S138" s="207">
        <v>141002</v>
      </c>
    </row>
    <row r="139" spans="2:19" ht="43.5" hidden="1" customHeight="1">
      <c r="D139" s="20">
        <v>400</v>
      </c>
      <c r="F139" s="20"/>
      <c r="G139" s="100">
        <f t="shared" si="16"/>
        <v>13800000</v>
      </c>
      <c r="H139" s="1">
        <v>400</v>
      </c>
      <c r="I139" s="40">
        <f t="shared" si="18"/>
        <v>13800000</v>
      </c>
      <c r="J139" s="49">
        <f t="shared" si="19"/>
        <v>400</v>
      </c>
      <c r="K139" s="6"/>
      <c r="L139" s="6"/>
      <c r="M139" s="100">
        <f t="shared" si="17"/>
        <v>0</v>
      </c>
      <c r="N139" s="4"/>
      <c r="O139" s="22">
        <v>34500</v>
      </c>
      <c r="P139" s="6" t="s">
        <v>35</v>
      </c>
      <c r="Q139" s="45" t="s">
        <v>253</v>
      </c>
      <c r="R139" s="65" t="s">
        <v>158</v>
      </c>
      <c r="S139" s="34" t="s">
        <v>251</v>
      </c>
    </row>
    <row r="140" spans="2:19" ht="43.5" hidden="1" customHeight="1">
      <c r="D140" s="20">
        <v>600</v>
      </c>
      <c r="F140" s="20"/>
      <c r="G140" s="100">
        <f t="shared" si="16"/>
        <v>17160000</v>
      </c>
      <c r="H140" s="1">
        <v>600</v>
      </c>
      <c r="I140" s="40">
        <f t="shared" si="18"/>
        <v>17160000</v>
      </c>
      <c r="J140" s="49">
        <f t="shared" si="19"/>
        <v>600</v>
      </c>
      <c r="K140" s="6"/>
      <c r="L140" s="6"/>
      <c r="M140" s="100">
        <f t="shared" si="17"/>
        <v>0</v>
      </c>
      <c r="N140" s="4"/>
      <c r="O140" s="22">
        <v>28600</v>
      </c>
      <c r="P140" s="6" t="s">
        <v>35</v>
      </c>
      <c r="Q140" s="45" t="s">
        <v>254</v>
      </c>
      <c r="R140" s="65" t="s">
        <v>158</v>
      </c>
      <c r="S140" s="34" t="s">
        <v>252</v>
      </c>
    </row>
    <row r="141" spans="2:19" ht="32.25" hidden="1" customHeight="1">
      <c r="B141" s="259" t="s">
        <v>276</v>
      </c>
      <c r="D141" s="20">
        <v>92520</v>
      </c>
      <c r="F141" s="20"/>
      <c r="G141" s="100">
        <f t="shared" si="16"/>
        <v>99048600</v>
      </c>
      <c r="H141" s="1">
        <f>92520+9*950</f>
        <v>101070</v>
      </c>
      <c r="I141" s="40">
        <f t="shared" si="18"/>
        <v>-34988940</v>
      </c>
      <c r="J141" s="49">
        <f t="shared" si="19"/>
        <v>-35703</v>
      </c>
      <c r="K141" s="6"/>
      <c r="L141" s="6"/>
      <c r="M141" s="100">
        <f t="shared" si="17"/>
        <v>134037540</v>
      </c>
      <c r="N141" s="4">
        <v>136773</v>
      </c>
      <c r="O141" s="104">
        <v>980</v>
      </c>
      <c r="P141" s="4" t="s">
        <v>44</v>
      </c>
      <c r="Q141" s="45" t="s">
        <v>68</v>
      </c>
      <c r="R141" s="65" t="s">
        <v>158</v>
      </c>
      <c r="S141" s="207">
        <v>141901</v>
      </c>
    </row>
    <row r="142" spans="2:19" ht="32.25" hidden="1" customHeight="1">
      <c r="B142" s="259" t="s">
        <v>277</v>
      </c>
      <c r="D142" s="20">
        <v>205600</v>
      </c>
      <c r="F142" s="20"/>
      <c r="G142" s="100">
        <f t="shared" si="16"/>
        <v>201017000</v>
      </c>
      <c r="H142" s="1">
        <f>205600+20*950</f>
        <v>224600</v>
      </c>
      <c r="I142" s="40">
        <f t="shared" si="18"/>
        <v>-71009300</v>
      </c>
      <c r="J142" s="49">
        <f t="shared" si="19"/>
        <v>-79340</v>
      </c>
      <c r="K142" s="6"/>
      <c r="L142" s="6"/>
      <c r="M142" s="100">
        <f t="shared" si="17"/>
        <v>272026300</v>
      </c>
      <c r="N142" s="4">
        <v>303940</v>
      </c>
      <c r="O142" s="22">
        <v>895</v>
      </c>
      <c r="P142" s="4" t="s">
        <v>44</v>
      </c>
      <c r="Q142" s="45" t="s">
        <v>242</v>
      </c>
      <c r="R142" s="65" t="s">
        <v>158</v>
      </c>
      <c r="S142" s="207">
        <v>141902</v>
      </c>
    </row>
    <row r="143" spans="2:19" ht="32.25" hidden="1" customHeight="1">
      <c r="B143" s="259" t="s">
        <v>278</v>
      </c>
      <c r="D143" s="57">
        <v>102800</v>
      </c>
      <c r="F143" s="57"/>
      <c r="G143" s="100">
        <f t="shared" si="16"/>
        <v>80294500</v>
      </c>
      <c r="H143" s="224">
        <f>102800+10*950</f>
        <v>112300</v>
      </c>
      <c r="I143" s="40">
        <f t="shared" si="18"/>
        <v>-28364050</v>
      </c>
      <c r="J143" s="49">
        <f t="shared" si="19"/>
        <v>-39670</v>
      </c>
      <c r="K143" s="7"/>
      <c r="L143" s="7"/>
      <c r="M143" s="100">
        <f t="shared" si="17"/>
        <v>108658550</v>
      </c>
      <c r="N143" s="59">
        <v>151970</v>
      </c>
      <c r="O143" s="60">
        <v>715</v>
      </c>
      <c r="P143" s="4" t="s">
        <v>44</v>
      </c>
      <c r="Q143" s="247" t="s">
        <v>241</v>
      </c>
      <c r="R143" s="65" t="s">
        <v>158</v>
      </c>
      <c r="S143" s="248" t="s">
        <v>240</v>
      </c>
    </row>
    <row r="144" spans="2:19" ht="29.25" hidden="1" customHeight="1" thickBot="1">
      <c r="D144" s="21"/>
      <c r="F144" s="21"/>
      <c r="G144" s="397">
        <f>SUM(G133:G143)</f>
        <v>1016764100</v>
      </c>
      <c r="H144" s="398"/>
      <c r="I144" s="432">
        <f>SUM(I133:I143)</f>
        <v>-607339290</v>
      </c>
      <c r="J144" s="432"/>
      <c r="K144" s="433">
        <f>SUM(K133:K142)</f>
        <v>0</v>
      </c>
      <c r="L144" s="433"/>
      <c r="M144" s="400">
        <f>SUM(M133:M143)</f>
        <v>1624103390</v>
      </c>
      <c r="N144" s="400"/>
      <c r="O144" s="400"/>
      <c r="P144" s="400"/>
      <c r="Q144" s="170" t="s">
        <v>13</v>
      </c>
      <c r="R144" s="68"/>
      <c r="S144" s="217"/>
    </row>
    <row r="145" spans="2:19" ht="49.5" hidden="1" customHeight="1">
      <c r="D145" s="13"/>
      <c r="F145" s="13"/>
      <c r="G145" s="99"/>
      <c r="H145" s="11"/>
      <c r="I145" s="54"/>
      <c r="J145" s="54"/>
      <c r="K145" s="87"/>
      <c r="L145" s="87"/>
      <c r="M145" s="99"/>
      <c r="N145" s="37"/>
      <c r="O145" s="37"/>
      <c r="P145" s="37"/>
      <c r="Q145" s="88"/>
      <c r="R145" s="88"/>
      <c r="S145" s="218"/>
    </row>
    <row r="146" spans="2:19" ht="49.5" hidden="1" customHeight="1" thickBot="1">
      <c r="D146" s="13"/>
      <c r="F146" s="13"/>
      <c r="G146" s="99"/>
      <c r="H146" s="11"/>
      <c r="I146" s="54"/>
      <c r="J146" s="54"/>
      <c r="K146" s="87"/>
      <c r="L146" s="87"/>
      <c r="M146" s="99"/>
      <c r="N146" s="37"/>
      <c r="O146" s="37"/>
      <c r="P146" s="37"/>
      <c r="Q146" s="88"/>
      <c r="R146" s="88"/>
      <c r="S146" s="218"/>
    </row>
    <row r="147" spans="2:19" ht="25.5" hidden="1" customHeight="1">
      <c r="D147" s="77"/>
      <c r="F147" s="173"/>
      <c r="G147" s="382" t="s">
        <v>300</v>
      </c>
      <c r="H147" s="382"/>
      <c r="I147" s="382" t="s">
        <v>145</v>
      </c>
      <c r="J147" s="382"/>
      <c r="K147" s="78"/>
      <c r="L147" s="78"/>
      <c r="M147" s="199"/>
      <c r="N147" s="78"/>
      <c r="O147" s="79"/>
      <c r="P147" s="78"/>
      <c r="Q147" s="80" t="s">
        <v>171</v>
      </c>
      <c r="R147" s="41"/>
      <c r="S147" s="219"/>
    </row>
    <row r="148" spans="2:19" ht="25.5" hidden="1" customHeight="1">
      <c r="D148" s="81"/>
      <c r="F148" s="174"/>
      <c r="G148" s="96"/>
      <c r="H148" s="82"/>
      <c r="I148" s="83"/>
      <c r="J148" s="143" t="s">
        <v>146</v>
      </c>
      <c r="K148" s="144"/>
      <c r="L148" s="144"/>
      <c r="M148" s="200"/>
      <c r="N148" s="144"/>
      <c r="O148" s="135"/>
      <c r="P148" s="144"/>
      <c r="Q148" s="84" t="s">
        <v>292</v>
      </c>
      <c r="R148" s="56"/>
      <c r="S148" s="175"/>
    </row>
    <row r="149" spans="2:19" ht="25.5" hidden="1" customHeight="1" thickBot="1">
      <c r="D149" s="85"/>
      <c r="F149" s="85"/>
      <c r="G149" s="145"/>
      <c r="H149" s="136"/>
      <c r="I149" s="146"/>
      <c r="J149" s="146"/>
      <c r="K149" s="136"/>
      <c r="L149" s="136"/>
      <c r="M149" s="202" t="s">
        <v>183</v>
      </c>
      <c r="N149" s="136"/>
      <c r="O149" s="136"/>
      <c r="P149" s="136"/>
      <c r="Q149" s="86" t="s">
        <v>210</v>
      </c>
      <c r="R149" s="42"/>
      <c r="S149" s="205"/>
    </row>
    <row r="150" spans="2:19" ht="34.5" hidden="1" customHeight="1">
      <c r="C150" s="3" t="s">
        <v>291</v>
      </c>
      <c r="D150" s="20"/>
      <c r="F150" s="20"/>
      <c r="G150" s="100">
        <f>H150*O150</f>
        <v>6300000</v>
      </c>
      <c r="H150" s="1">
        <v>700</v>
      </c>
      <c r="I150" s="40">
        <f>J150*O150</f>
        <v>6300000</v>
      </c>
      <c r="J150" s="49">
        <f>H150-N150</f>
        <v>700</v>
      </c>
      <c r="K150" s="4"/>
      <c r="L150" s="4"/>
      <c r="M150" s="191"/>
      <c r="N150" s="4"/>
      <c r="O150" s="22">
        <v>9000</v>
      </c>
      <c r="P150" s="4" t="s">
        <v>36</v>
      </c>
      <c r="Q150" s="4" t="s">
        <v>98</v>
      </c>
      <c r="R150" s="64" t="s">
        <v>158</v>
      </c>
      <c r="S150" s="32" t="s">
        <v>97</v>
      </c>
    </row>
    <row r="151" spans="2:19" ht="34.5" hidden="1" customHeight="1">
      <c r="D151" s="20"/>
      <c r="F151" s="20"/>
      <c r="G151" s="100"/>
      <c r="H151" s="1"/>
      <c r="I151" s="40">
        <f>J151*O151</f>
        <v>0</v>
      </c>
      <c r="J151" s="49">
        <f>H151-N151</f>
        <v>0</v>
      </c>
      <c r="K151" s="4"/>
      <c r="L151" s="4"/>
      <c r="M151" s="191"/>
      <c r="N151" s="4"/>
      <c r="O151" s="22">
        <v>43200</v>
      </c>
      <c r="P151" s="4" t="s">
        <v>36</v>
      </c>
      <c r="Q151" s="4" t="s">
        <v>106</v>
      </c>
      <c r="R151" s="64" t="s">
        <v>158</v>
      </c>
      <c r="S151" s="32" t="s">
        <v>105</v>
      </c>
    </row>
    <row r="152" spans="2:19" s="171" customFormat="1" ht="34.5" hidden="1" customHeight="1" thickBot="1">
      <c r="B152" s="260"/>
      <c r="C152" s="263"/>
      <c r="D152" s="131"/>
      <c r="F152" s="131"/>
      <c r="G152" s="397">
        <f>SUM(G150:G151)</f>
        <v>6300000</v>
      </c>
      <c r="H152" s="398"/>
      <c r="I152" s="399">
        <f>SUM(I150:I151)</f>
        <v>6300000</v>
      </c>
      <c r="J152" s="399"/>
      <c r="K152" s="411">
        <f>SUM(K150:K151)</f>
        <v>0</v>
      </c>
      <c r="L152" s="411"/>
      <c r="M152" s="411">
        <f>SUM(M150:M151)</f>
        <v>0</v>
      </c>
      <c r="N152" s="411"/>
      <c r="O152" s="133"/>
      <c r="P152" s="132"/>
      <c r="Q152" s="134" t="s">
        <v>60</v>
      </c>
      <c r="R152" s="172"/>
      <c r="S152" s="217"/>
    </row>
    <row r="153" spans="2:19" ht="32.25" hidden="1" customHeight="1">
      <c r="D153" s="177"/>
      <c r="F153" s="177"/>
      <c r="G153" s="103"/>
      <c r="H153" s="75"/>
      <c r="I153" s="40">
        <f>J153*O153</f>
        <v>0</v>
      </c>
      <c r="J153" s="49">
        <f>H153-N153</f>
        <v>0</v>
      </c>
      <c r="K153" s="75"/>
      <c r="L153" s="75"/>
      <c r="M153" s="191"/>
      <c r="N153" s="75"/>
      <c r="O153" s="90">
        <v>40700</v>
      </c>
      <c r="P153" s="4" t="s">
        <v>125</v>
      </c>
      <c r="Q153" s="71" t="s">
        <v>168</v>
      </c>
      <c r="R153" s="72" t="s">
        <v>158</v>
      </c>
      <c r="S153" s="214">
        <v>190103</v>
      </c>
    </row>
    <row r="154" spans="2:19" ht="32.25" hidden="1" customHeight="1">
      <c r="D154" s="177">
        <v>4369.33</v>
      </c>
      <c r="F154" s="177"/>
      <c r="G154" s="103">
        <f>H154*O154</f>
        <v>27087800</v>
      </c>
      <c r="H154" s="75">
        <v>4369</v>
      </c>
      <c r="I154" s="40">
        <f>J154*O154</f>
        <v>27087800</v>
      </c>
      <c r="J154" s="49">
        <f>H154-N154</f>
        <v>4369</v>
      </c>
      <c r="K154" s="75"/>
      <c r="L154" s="75"/>
      <c r="M154" s="191"/>
      <c r="N154" s="75"/>
      <c r="O154" s="90">
        <v>6200</v>
      </c>
      <c r="P154" s="4" t="s">
        <v>125</v>
      </c>
      <c r="Q154" s="71" t="s">
        <v>256</v>
      </c>
      <c r="R154" s="72" t="s">
        <v>158</v>
      </c>
      <c r="S154" s="212" t="s">
        <v>255</v>
      </c>
    </row>
    <row r="155" spans="2:19" ht="32.25" hidden="1" customHeight="1">
      <c r="B155" s="259">
        <v>450</v>
      </c>
      <c r="C155" s="3">
        <v>300</v>
      </c>
      <c r="D155" s="5">
        <v>348.75</v>
      </c>
      <c r="F155" s="5"/>
      <c r="G155" s="103">
        <f>H155*O155</f>
        <v>61048800</v>
      </c>
      <c r="H155" s="1">
        <f>348+300+450</f>
        <v>1098</v>
      </c>
      <c r="I155" s="40">
        <f>J155*O155</f>
        <v>61048800</v>
      </c>
      <c r="J155" s="49">
        <f>H155-N155</f>
        <v>1098</v>
      </c>
      <c r="K155" s="4"/>
      <c r="L155" s="4"/>
      <c r="M155" s="191"/>
      <c r="N155" s="4"/>
      <c r="O155" s="22">
        <v>55600</v>
      </c>
      <c r="P155" s="4" t="s">
        <v>108</v>
      </c>
      <c r="Q155" s="46" t="s">
        <v>150</v>
      </c>
      <c r="R155" s="72" t="s">
        <v>158</v>
      </c>
      <c r="S155" s="32" t="s">
        <v>149</v>
      </c>
    </row>
    <row r="156" spans="2:19" ht="32.25" hidden="1" customHeight="1">
      <c r="D156" s="57"/>
      <c r="F156" s="57"/>
      <c r="G156" s="103">
        <f>H156*O156</f>
        <v>10680000</v>
      </c>
      <c r="H156" s="1">
        <v>120</v>
      </c>
      <c r="I156" s="40">
        <f>J156*O156</f>
        <v>-7120000</v>
      </c>
      <c r="J156" s="49">
        <f>H156-N156</f>
        <v>-80</v>
      </c>
      <c r="K156" s="59"/>
      <c r="L156" s="59"/>
      <c r="M156" s="191">
        <f>N156*O156</f>
        <v>17800000</v>
      </c>
      <c r="N156" s="59">
        <v>200</v>
      </c>
      <c r="O156" s="60">
        <v>89000</v>
      </c>
      <c r="P156" s="59" t="s">
        <v>64</v>
      </c>
      <c r="Q156" s="247" t="s">
        <v>244</v>
      </c>
      <c r="R156" s="72" t="s">
        <v>159</v>
      </c>
      <c r="S156" s="76" t="s">
        <v>243</v>
      </c>
    </row>
    <row r="157" spans="2:19" s="178" customFormat="1" ht="32.25" hidden="1" customHeight="1" thickBot="1">
      <c r="B157" s="261"/>
      <c r="C157" s="264"/>
      <c r="D157" s="179"/>
      <c r="F157" s="179"/>
      <c r="G157" s="407">
        <f>SUM(G153:G156)</f>
        <v>98816600</v>
      </c>
      <c r="H157" s="408"/>
      <c r="I157" s="403">
        <f>SUM(I153:I156)</f>
        <v>81016600</v>
      </c>
      <c r="J157" s="403"/>
      <c r="K157" s="434" t="e">
        <f>SUM(#REF!)</f>
        <v>#REF!</v>
      </c>
      <c r="L157" s="434"/>
      <c r="M157" s="434">
        <f>SUM(M153:M156)</f>
        <v>17800000</v>
      </c>
      <c r="N157" s="434"/>
      <c r="O157" s="182"/>
      <c r="P157" s="181"/>
      <c r="Q157" s="183" t="s">
        <v>107</v>
      </c>
      <c r="R157" s="184"/>
      <c r="S157" s="221"/>
    </row>
    <row r="158" spans="2:19" ht="25.5" hidden="1" customHeight="1" thickBot="1">
      <c r="D158" s="85"/>
      <c r="F158" s="85"/>
      <c r="G158" s="145"/>
      <c r="H158" s="136"/>
      <c r="I158" s="146"/>
      <c r="J158" s="146"/>
      <c r="K158" s="136"/>
      <c r="L158" s="136"/>
      <c r="M158" s="202" t="s">
        <v>183</v>
      </c>
      <c r="N158" s="136"/>
      <c r="O158" s="136"/>
      <c r="P158" s="136"/>
      <c r="Q158" s="86" t="s">
        <v>211</v>
      </c>
      <c r="R158" s="42"/>
      <c r="S158" s="205"/>
    </row>
    <row r="159" spans="2:19" ht="33" hidden="1" customHeight="1">
      <c r="B159" s="265">
        <f>(C106+B106)*0.25*45</f>
        <v>34233.75</v>
      </c>
      <c r="D159" s="20">
        <v>32089.8</v>
      </c>
      <c r="F159" s="20"/>
      <c r="G159" s="100">
        <f>H159*O159</f>
        <v>24207530</v>
      </c>
      <c r="H159" s="1">
        <f>32089+34233</f>
        <v>66322</v>
      </c>
      <c r="I159" s="40">
        <f>J159*O159</f>
        <v>11620870</v>
      </c>
      <c r="J159" s="49">
        <f>H159-N159</f>
        <v>31838</v>
      </c>
      <c r="K159" s="4"/>
      <c r="L159" s="4"/>
      <c r="M159" s="191">
        <f>N159*O159</f>
        <v>12586660</v>
      </c>
      <c r="N159" s="4">
        <v>34484</v>
      </c>
      <c r="O159" s="22">
        <v>365</v>
      </c>
      <c r="P159" s="4" t="s">
        <v>59</v>
      </c>
      <c r="Q159" s="4" t="s">
        <v>56</v>
      </c>
      <c r="R159" s="64" t="s">
        <v>158</v>
      </c>
      <c r="S159" s="207" t="s">
        <v>53</v>
      </c>
    </row>
    <row r="160" spans="2:19" ht="33" hidden="1" customHeight="1">
      <c r="B160" s="265">
        <f>(C106+B106)*0.25*75</f>
        <v>57056.25</v>
      </c>
      <c r="D160" s="20">
        <v>27643.439999999999</v>
      </c>
      <c r="F160" s="20"/>
      <c r="G160" s="100">
        <f>H160*O160</f>
        <v>20751255</v>
      </c>
      <c r="H160" s="1">
        <f>27643+57056</f>
        <v>84699</v>
      </c>
      <c r="I160" s="40">
        <f>J160*O160</f>
        <v>13560995</v>
      </c>
      <c r="J160" s="49">
        <f>H160-N160</f>
        <v>55351</v>
      </c>
      <c r="K160" s="4"/>
      <c r="L160" s="4"/>
      <c r="M160" s="191">
        <f>N160*O160</f>
        <v>7190260</v>
      </c>
      <c r="N160" s="4">
        <v>29348</v>
      </c>
      <c r="O160" s="22">
        <v>245</v>
      </c>
      <c r="P160" s="4" t="s">
        <v>59</v>
      </c>
      <c r="Q160" s="4" t="s">
        <v>57</v>
      </c>
      <c r="R160" s="64" t="s">
        <v>158</v>
      </c>
      <c r="S160" s="207" t="s">
        <v>54</v>
      </c>
    </row>
    <row r="161" spans="2:28" ht="33" hidden="1" customHeight="1">
      <c r="B161" s="265">
        <f>(C106+B106)*0.25*150</f>
        <v>114112.5</v>
      </c>
      <c r="D161" s="20">
        <v>10067.700000000001</v>
      </c>
      <c r="F161" s="20"/>
      <c r="G161" s="100">
        <f>H161*O161</f>
        <v>1560385</v>
      </c>
      <c r="H161" s="1">
        <v>10067</v>
      </c>
      <c r="I161" s="40">
        <f>J161*O161</f>
        <v>91295</v>
      </c>
      <c r="J161" s="49">
        <f>H161-N161</f>
        <v>589</v>
      </c>
      <c r="K161" s="4"/>
      <c r="L161" s="4"/>
      <c r="M161" s="191">
        <f>N161*O161</f>
        <v>1469090</v>
      </c>
      <c r="N161" s="4">
        <v>9478</v>
      </c>
      <c r="O161" s="22">
        <v>155</v>
      </c>
      <c r="P161" s="4" t="s">
        <v>59</v>
      </c>
      <c r="Q161" s="4" t="s">
        <v>58</v>
      </c>
      <c r="R161" s="64" t="s">
        <v>158</v>
      </c>
      <c r="S161" s="207" t="s">
        <v>55</v>
      </c>
    </row>
    <row r="162" spans="2:28" ht="33" hidden="1" customHeight="1">
      <c r="B162" s="265"/>
      <c r="D162" s="20">
        <v>10067.700000000001</v>
      </c>
      <c r="F162" s="20"/>
      <c r="G162" s="100">
        <f>H162*O162</f>
        <v>1258375</v>
      </c>
      <c r="H162" s="1">
        <v>10067</v>
      </c>
      <c r="I162" s="40">
        <f>J162*O162</f>
        <v>73625</v>
      </c>
      <c r="J162" s="49">
        <f>H162-N162</f>
        <v>589</v>
      </c>
      <c r="K162" s="4"/>
      <c r="L162" s="4"/>
      <c r="M162" s="191">
        <f>N162*O162</f>
        <v>1184750</v>
      </c>
      <c r="N162" s="4">
        <v>9478</v>
      </c>
      <c r="O162" s="22">
        <v>125</v>
      </c>
      <c r="P162" s="4" t="s">
        <v>59</v>
      </c>
      <c r="Q162" s="4" t="s">
        <v>113</v>
      </c>
      <c r="R162" s="64" t="s">
        <v>158</v>
      </c>
      <c r="S162" s="207" t="s">
        <v>112</v>
      </c>
    </row>
    <row r="163" spans="2:28" ht="33" hidden="1" customHeight="1">
      <c r="B163" s="265"/>
      <c r="D163" s="20">
        <v>3355.9</v>
      </c>
      <c r="F163" s="20"/>
      <c r="G163" s="100">
        <f>H163*O163</f>
        <v>369050</v>
      </c>
      <c r="H163" s="1">
        <v>3355</v>
      </c>
      <c r="I163" s="40">
        <f>J163*O163</f>
        <v>21560</v>
      </c>
      <c r="J163" s="49">
        <f>H163-N163</f>
        <v>196</v>
      </c>
      <c r="K163" s="4"/>
      <c r="L163" s="4"/>
      <c r="M163" s="191">
        <f>N163*O163</f>
        <v>347490</v>
      </c>
      <c r="N163" s="4">
        <v>3159</v>
      </c>
      <c r="O163" s="22">
        <v>110</v>
      </c>
      <c r="P163" s="4" t="s">
        <v>59</v>
      </c>
      <c r="Q163" s="4" t="s">
        <v>127</v>
      </c>
      <c r="R163" s="64" t="s">
        <v>158</v>
      </c>
      <c r="S163" s="207" t="s">
        <v>126</v>
      </c>
    </row>
    <row r="164" spans="2:28" s="178" customFormat="1" ht="33" hidden="1" customHeight="1" thickBot="1">
      <c r="B164" s="261"/>
      <c r="C164" s="264"/>
      <c r="D164" s="179"/>
      <c r="F164" s="179"/>
      <c r="G164" s="407">
        <f>SUM(G159:G163)</f>
        <v>48146595</v>
      </c>
      <c r="H164" s="408"/>
      <c r="I164" s="403">
        <f>SUM(I159:I163)</f>
        <v>25368345</v>
      </c>
      <c r="J164" s="403"/>
      <c r="K164" s="434">
        <f>SUM(K159:K163)</f>
        <v>0</v>
      </c>
      <c r="L164" s="434"/>
      <c r="M164" s="434">
        <f>SUM(M159:M163)</f>
        <v>22778250</v>
      </c>
      <c r="N164" s="434"/>
      <c r="O164" s="182"/>
      <c r="P164" s="181"/>
      <c r="Q164" s="181" t="s">
        <v>14</v>
      </c>
      <c r="R164" s="180"/>
      <c r="S164" s="221"/>
    </row>
    <row r="165" spans="2:28" ht="49.5" hidden="1" customHeight="1"/>
    <row r="166" spans="2:28" ht="49.5" hidden="1" customHeight="1"/>
    <row r="167" spans="2:28" ht="49.5" hidden="1" customHeight="1"/>
    <row r="168" spans="2:28" ht="49.5" hidden="1" customHeight="1">
      <c r="T168" s="3"/>
      <c r="U168" s="3"/>
      <c r="V168" s="3"/>
      <c r="W168" s="3"/>
      <c r="X168" s="3"/>
      <c r="Y168" s="3"/>
      <c r="Z168" s="14"/>
      <c r="AA168" s="14"/>
      <c r="AB168" s="12"/>
    </row>
    <row r="169" spans="2:28" ht="49.5" hidden="1" customHeight="1">
      <c r="T169" s="3"/>
      <c r="U169" s="3"/>
      <c r="V169" s="3"/>
      <c r="W169" s="3"/>
      <c r="X169" s="3"/>
      <c r="Y169" s="3"/>
      <c r="Z169" s="14"/>
      <c r="AA169" s="14"/>
      <c r="AB169" s="12"/>
    </row>
    <row r="170" spans="2:28" ht="49.5" hidden="1" customHeight="1">
      <c r="T170" s="3"/>
      <c r="U170" s="3"/>
      <c r="V170" s="3"/>
      <c r="W170" s="3"/>
      <c r="X170" s="3"/>
      <c r="Y170" s="3"/>
      <c r="Z170" s="14"/>
      <c r="AA170" s="14"/>
      <c r="AB170" s="12"/>
    </row>
    <row r="171" spans="2:28" ht="49.5" hidden="1" customHeight="1">
      <c r="T171" s="3"/>
      <c r="U171" s="3"/>
      <c r="V171" s="3"/>
      <c r="W171" s="3"/>
      <c r="X171" s="3"/>
      <c r="Y171" s="3"/>
      <c r="Z171" s="14"/>
      <c r="AA171" s="14"/>
      <c r="AB171" s="12"/>
    </row>
    <row r="172" spans="2:28" ht="49.5" hidden="1" customHeight="1">
      <c r="D172" s="25"/>
      <c r="F172" s="25"/>
      <c r="T172" s="3"/>
      <c r="U172" s="3"/>
      <c r="V172" s="3"/>
      <c r="W172" s="3"/>
      <c r="X172" s="3"/>
      <c r="Y172" s="3"/>
      <c r="Z172" s="14"/>
      <c r="AA172" s="14"/>
      <c r="AB172" s="12"/>
    </row>
    <row r="173" spans="2:28" ht="49.5" hidden="1" customHeight="1">
      <c r="T173" s="3"/>
      <c r="U173" s="3"/>
      <c r="V173" s="3"/>
      <c r="W173" s="3"/>
      <c r="X173" s="3"/>
      <c r="Y173" s="3"/>
      <c r="Z173" s="14"/>
      <c r="AA173" s="14"/>
      <c r="AB173" s="12"/>
    </row>
    <row r="174" spans="2:28" ht="49.5" hidden="1" customHeight="1">
      <c r="D174" s="26"/>
      <c r="F174" s="26"/>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T176" s="3"/>
      <c r="U176" s="3"/>
      <c r="V176" s="3"/>
      <c r="W176" s="3"/>
      <c r="X176" s="3"/>
      <c r="Y176" s="3"/>
      <c r="Z176" s="14"/>
      <c r="AA176" s="14"/>
      <c r="AB176" s="12"/>
    </row>
    <row r="177" spans="4:28" ht="49.5" hidden="1" customHeight="1">
      <c r="T177" s="3"/>
      <c r="U177" s="3"/>
      <c r="V177" s="3"/>
      <c r="W177" s="3"/>
      <c r="X177" s="3"/>
      <c r="Y177" s="3"/>
      <c r="Z177" s="14"/>
      <c r="AA177" s="14"/>
      <c r="AB177" s="12"/>
    </row>
    <row r="178" spans="4:28" ht="49.5" hidden="1" customHeight="1">
      <c r="D178" s="16">
        <v>1.25</v>
      </c>
      <c r="F178" s="16">
        <v>1.25</v>
      </c>
      <c r="I178" s="33" t="s">
        <v>69</v>
      </c>
      <c r="J178" s="33" t="s">
        <v>67</v>
      </c>
      <c r="T178" s="3"/>
      <c r="U178" s="3"/>
      <c r="V178" s="3"/>
      <c r="W178" s="3"/>
      <c r="X178" s="3"/>
      <c r="Y178" s="3"/>
      <c r="Z178" s="14"/>
      <c r="AA178" s="14"/>
      <c r="AB178" s="12"/>
    </row>
    <row r="179" spans="4:28" ht="49.5" hidden="1" customHeight="1">
      <c r="D179" s="16" t="e">
        <f>G164+#REF!+#REF!+G152+#REF!+G144+#REF!+G121+G97+#REF!+G92+G80+#REF!+G36+G13+#REF!</f>
        <v>#REF!</v>
      </c>
      <c r="F179" s="16" t="e">
        <f>I164+#REF!+#REF!+I152+#REF!+I144+#REF!+I121+I97+#REF!+I92+I80+#REF!+I36+I13+#REF!</f>
        <v>#REF!</v>
      </c>
      <c r="I179" s="53" t="e">
        <f>K164+#REF!+#REF!+K152+#REF!+K144+#REF!+K121+K97+#REF!+K92+K80+#REF!+K36+K13+#REF!</f>
        <v>#REF!</v>
      </c>
      <c r="J179" s="33" t="e">
        <f>M164+#REF!+#REF!+M152+#REF!+#REF!+M121+M97+#REF!+M92+M80+M36+#REF!+M13+M144+#REF!</f>
        <v>#REF!</v>
      </c>
      <c r="T179" s="3"/>
      <c r="U179" s="3"/>
      <c r="V179" s="3"/>
      <c r="W179" s="3"/>
      <c r="X179" s="3"/>
      <c r="Y179" s="3"/>
      <c r="Z179" s="14"/>
      <c r="AA179" s="14"/>
      <c r="AB179" s="12"/>
    </row>
    <row r="180" spans="4:28" ht="49.5" customHeight="1">
      <c r="T180" s="3"/>
      <c r="U180" s="3"/>
      <c r="V180" s="3"/>
      <c r="W180" s="3"/>
      <c r="X180" s="3"/>
      <c r="Y180" s="3"/>
      <c r="Z180" s="14"/>
      <c r="AA180" s="14"/>
      <c r="AB180" s="12"/>
    </row>
    <row r="181" spans="4:28" ht="49.5" customHeight="1">
      <c r="T181" s="3"/>
      <c r="U181" s="3"/>
      <c r="V181" s="3"/>
      <c r="W181" s="3"/>
      <c r="X181" s="3"/>
      <c r="Y181" s="3"/>
      <c r="Z181" s="14"/>
      <c r="AA181" s="14"/>
      <c r="AB181" s="12"/>
    </row>
    <row r="182" spans="4:28" ht="49.5" customHeight="1">
      <c r="T182" s="3"/>
      <c r="U182" s="3"/>
      <c r="V182" s="3"/>
      <c r="W182" s="3"/>
      <c r="X182" s="3"/>
      <c r="Y182" s="3"/>
      <c r="Z182" s="14"/>
      <c r="AA182" s="14"/>
      <c r="AB182" s="12"/>
    </row>
    <row r="183" spans="4:28" ht="49.5" customHeight="1">
      <c r="T183" s="3"/>
      <c r="U183" s="3"/>
      <c r="V183" s="3"/>
      <c r="W183" s="3"/>
      <c r="X183" s="3"/>
      <c r="Y183" s="3"/>
      <c r="Z183" s="14"/>
      <c r="AA183" s="14"/>
      <c r="AB183" s="12"/>
    </row>
    <row r="184" spans="4:28" ht="49.5" customHeight="1">
      <c r="T184" s="3"/>
      <c r="U184" s="3"/>
      <c r="V184" s="3"/>
      <c r="W184" s="3"/>
      <c r="X184" s="3"/>
      <c r="Y184" s="3"/>
      <c r="Z184" s="14"/>
      <c r="AA184" s="14"/>
      <c r="AB184" s="12"/>
    </row>
    <row r="185" spans="4:28" ht="49.5" customHeight="1">
      <c r="Z185" s="12"/>
      <c r="AA185" s="12"/>
      <c r="AB185" s="12"/>
    </row>
    <row r="186" spans="4:28" ht="49.5" customHeight="1">
      <c r="Z186" s="12"/>
      <c r="AA186" s="12"/>
      <c r="AB186" s="12"/>
    </row>
    <row r="187" spans="4:28" ht="49.5" customHeight="1">
      <c r="Z187" s="12"/>
      <c r="AA187" s="12"/>
      <c r="AB187" s="12"/>
    </row>
    <row r="188" spans="4:28" ht="49.5" customHeight="1">
      <c r="Z188" s="12"/>
      <c r="AA188" s="12"/>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row r="197" spans="26:28" ht="49.5" customHeight="1">
      <c r="Z197" s="12"/>
      <c r="AA197" s="12"/>
      <c r="AB197" s="12"/>
    </row>
    <row r="198" spans="26:28" ht="49.5" customHeight="1">
      <c r="Z198" s="12"/>
      <c r="AA198" s="12"/>
      <c r="AB198" s="12"/>
    </row>
  </sheetData>
  <mergeCells count="129">
    <mergeCell ref="G1:H1"/>
    <mergeCell ref="I1:J1"/>
    <mergeCell ref="D3:D4"/>
    <mergeCell ref="F3:F4"/>
    <mergeCell ref="G3:H3"/>
    <mergeCell ref="I3:J3"/>
    <mergeCell ref="K3:L3"/>
    <mergeCell ref="M3:N3"/>
    <mergeCell ref="O3:O4"/>
    <mergeCell ref="P3:P4"/>
    <mergeCell ref="Q3:Q4"/>
    <mergeCell ref="S3:S4"/>
    <mergeCell ref="I13:J13"/>
    <mergeCell ref="K13:L13"/>
    <mergeCell ref="M13:N13"/>
    <mergeCell ref="G15:H15"/>
    <mergeCell ref="I15:J15"/>
    <mergeCell ref="D18:D19"/>
    <mergeCell ref="F18:F19"/>
    <mergeCell ref="G18:H18"/>
    <mergeCell ref="I18:J18"/>
    <mergeCell ref="K18:L18"/>
    <mergeCell ref="M18:N18"/>
    <mergeCell ref="O18:O19"/>
    <mergeCell ref="P18:P19"/>
    <mergeCell ref="Q18:Q19"/>
    <mergeCell ref="S18:S19"/>
    <mergeCell ref="G36:H36"/>
    <mergeCell ref="I36:J36"/>
    <mergeCell ref="K36:L36"/>
    <mergeCell ref="M36:N36"/>
    <mergeCell ref="G38:H38"/>
    <mergeCell ref="I38:J38"/>
    <mergeCell ref="G56:H56"/>
    <mergeCell ref="I56:J56"/>
    <mergeCell ref="K56:L56"/>
    <mergeCell ref="M56:N56"/>
    <mergeCell ref="G58:H58"/>
    <mergeCell ref="I58:J58"/>
    <mergeCell ref="D61:D62"/>
    <mergeCell ref="F61:F62"/>
    <mergeCell ref="G61:H61"/>
    <mergeCell ref="I61:J61"/>
    <mergeCell ref="K61:L61"/>
    <mergeCell ref="M61:N61"/>
    <mergeCell ref="O61:O62"/>
    <mergeCell ref="P61:P62"/>
    <mergeCell ref="Q61:Q62"/>
    <mergeCell ref="S61:S62"/>
    <mergeCell ref="G67:H67"/>
    <mergeCell ref="I67:J67"/>
    <mergeCell ref="M67:N67"/>
    <mergeCell ref="G80:H80"/>
    <mergeCell ref="I80:J80"/>
    <mergeCell ref="K80:L80"/>
    <mergeCell ref="M80:N80"/>
    <mergeCell ref="G82:H82"/>
    <mergeCell ref="I82:J82"/>
    <mergeCell ref="D85:D86"/>
    <mergeCell ref="F85:F86"/>
    <mergeCell ref="G85:H85"/>
    <mergeCell ref="I85:J85"/>
    <mergeCell ref="K85:L85"/>
    <mergeCell ref="M85:N85"/>
    <mergeCell ref="O85:O86"/>
    <mergeCell ref="P85:P86"/>
    <mergeCell ref="Q85:Q86"/>
    <mergeCell ref="S85:S86"/>
    <mergeCell ref="G92:H92"/>
    <mergeCell ref="I92:J92"/>
    <mergeCell ref="K92:L92"/>
    <mergeCell ref="M92:N92"/>
    <mergeCell ref="O92:P92"/>
    <mergeCell ref="G97:H97"/>
    <mergeCell ref="I97:J97"/>
    <mergeCell ref="K97:L97"/>
    <mergeCell ref="M97:N97"/>
    <mergeCell ref="G99:H99"/>
    <mergeCell ref="I99:J99"/>
    <mergeCell ref="D102:D103"/>
    <mergeCell ref="F102:F103"/>
    <mergeCell ref="G102:H102"/>
    <mergeCell ref="I102:J102"/>
    <mergeCell ref="K102:L102"/>
    <mergeCell ref="M102:N102"/>
    <mergeCell ref="O102:O103"/>
    <mergeCell ref="P102:P103"/>
    <mergeCell ref="Q102:Q103"/>
    <mergeCell ref="S102:S103"/>
    <mergeCell ref="G121:H121"/>
    <mergeCell ref="I121:J121"/>
    <mergeCell ref="K121:L121"/>
    <mergeCell ref="M121:N121"/>
    <mergeCell ref="G123:H123"/>
    <mergeCell ref="I123:J123"/>
    <mergeCell ref="S126:S127"/>
    <mergeCell ref="G131:H131"/>
    <mergeCell ref="I131:J131"/>
    <mergeCell ref="K131:L131"/>
    <mergeCell ref="M131:N131"/>
    <mergeCell ref="D126:D127"/>
    <mergeCell ref="F126:F127"/>
    <mergeCell ref="G126:H126"/>
    <mergeCell ref="I126:J126"/>
    <mergeCell ref="K126:L126"/>
    <mergeCell ref="P1:Q1"/>
    <mergeCell ref="G164:H164"/>
    <mergeCell ref="I164:J164"/>
    <mergeCell ref="K164:L164"/>
    <mergeCell ref="M164:N164"/>
    <mergeCell ref="G152:H152"/>
    <mergeCell ref="I152:J152"/>
    <mergeCell ref="K152:L152"/>
    <mergeCell ref="M152:N152"/>
    <mergeCell ref="G157:H157"/>
    <mergeCell ref="I157:J157"/>
    <mergeCell ref="O144:P144"/>
    <mergeCell ref="G147:H147"/>
    <mergeCell ref="I147:J147"/>
    <mergeCell ref="O126:O127"/>
    <mergeCell ref="P126:P127"/>
    <mergeCell ref="Q126:Q127"/>
    <mergeCell ref="M126:N126"/>
    <mergeCell ref="K157:L157"/>
    <mergeCell ref="M157:N157"/>
    <mergeCell ref="G144:H144"/>
    <mergeCell ref="I144:J144"/>
    <mergeCell ref="K144:L144"/>
    <mergeCell ref="M144:N144"/>
  </mergeCells>
  <printOptions horizontalCentered="1"/>
  <pageMargins left="0" right="0" top="0.78740157480314965" bottom="0.98425196850393704" header="0.39370078740157483" footer="0.59055118110236227"/>
  <pageSetup paperSize="9" scale="90"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view="pageBreakPreview" topLeftCell="G1" zoomScaleNormal="90" zoomScaleSheetLayoutView="100" workbookViewId="0">
      <selection activeCell="I6" sqref="I6"/>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20.85546875" style="16" customWidth="1"/>
    <col min="7" max="7" width="14.85546875" style="95" customWidth="1"/>
    <col min="8" max="8" width="14.42578125" style="16" customWidth="1"/>
    <col min="9" max="9" width="13.140625" style="33" customWidth="1"/>
    <col min="10" max="10" width="8.85546875"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0" t="s">
        <v>142</v>
      </c>
      <c r="K4" s="357" t="s">
        <v>4</v>
      </c>
      <c r="L4" s="357" t="s">
        <v>3</v>
      </c>
      <c r="M4" s="100" t="s">
        <v>141</v>
      </c>
      <c r="N4" s="357" t="s">
        <v>140</v>
      </c>
      <c r="O4" s="429"/>
      <c r="P4" s="388"/>
      <c r="Q4" s="388"/>
      <c r="R4" s="2"/>
      <c r="S4" s="421"/>
    </row>
    <row r="5" spans="2:19" ht="23.25" customHeight="1" thickBot="1">
      <c r="D5" s="85"/>
      <c r="F5" s="176"/>
      <c r="G5" s="145"/>
      <c r="H5" s="136"/>
      <c r="I5" s="146"/>
      <c r="J5" s="146"/>
      <c r="K5" s="136"/>
      <c r="L5" s="136"/>
      <c r="M5" s="145" t="s">
        <v>381</v>
      </c>
      <c r="N5" s="136"/>
      <c r="O5" s="136"/>
      <c r="P5" s="136"/>
      <c r="Q5" s="86" t="s">
        <v>320</v>
      </c>
      <c r="R5" s="42"/>
      <c r="S5" s="220"/>
    </row>
    <row r="6" spans="2:19" ht="33" customHeight="1">
      <c r="B6" s="259" t="s">
        <v>264</v>
      </c>
      <c r="C6" s="3" t="s">
        <v>279</v>
      </c>
      <c r="D6" s="35">
        <v>521.12</v>
      </c>
      <c r="F6" s="35"/>
      <c r="G6" s="269"/>
      <c r="H6" s="269">
        <f>I6</f>
        <v>4894240</v>
      </c>
      <c r="I6" s="269">
        <f>J6*O6</f>
        <v>4894240</v>
      </c>
      <c r="J6" s="49">
        <v>23.53</v>
      </c>
      <c r="K6" s="6"/>
      <c r="L6" s="28"/>
      <c r="M6" s="269">
        <f>N6*O6</f>
        <v>0</v>
      </c>
      <c r="N6" s="6">
        <v>0</v>
      </c>
      <c r="O6" s="359">
        <v>208000</v>
      </c>
      <c r="P6" s="6" t="s">
        <v>82</v>
      </c>
      <c r="Q6" s="6" t="s">
        <v>489</v>
      </c>
      <c r="R6" s="63" t="s">
        <v>158</v>
      </c>
      <c r="S6" s="358" t="s">
        <v>488</v>
      </c>
    </row>
    <row r="7" spans="2:19" ht="33" customHeight="1">
      <c r="D7" s="35"/>
      <c r="F7" s="35"/>
      <c r="G7" s="269"/>
      <c r="H7" s="269">
        <f>I7</f>
        <v>1326960</v>
      </c>
      <c r="I7" s="269">
        <f>J7*O7</f>
        <v>1326960</v>
      </c>
      <c r="J7" s="49">
        <v>4.5599999999999996</v>
      </c>
      <c r="K7" s="6"/>
      <c r="L7" s="28"/>
      <c r="M7" s="269">
        <v>0</v>
      </c>
      <c r="N7" s="6">
        <v>0</v>
      </c>
      <c r="O7" s="359">
        <v>291000</v>
      </c>
      <c r="P7" s="6" t="s">
        <v>82</v>
      </c>
      <c r="Q7" s="6" t="s">
        <v>491</v>
      </c>
      <c r="R7" s="63" t="s">
        <v>158</v>
      </c>
      <c r="S7" s="358" t="s">
        <v>490</v>
      </c>
    </row>
    <row r="8" spans="2:19" ht="33" customHeight="1">
      <c r="B8" s="259" t="s">
        <v>264</v>
      </c>
      <c r="C8" s="3" t="s">
        <v>279</v>
      </c>
      <c r="D8" s="35">
        <v>521.12</v>
      </c>
      <c r="F8" s="35"/>
      <c r="G8" s="269"/>
      <c r="H8" s="269">
        <f>(J8-N8)*O8</f>
        <v>44837370</v>
      </c>
      <c r="I8" s="269">
        <f>J8*O8</f>
        <v>56874960</v>
      </c>
      <c r="J8" s="49">
        <v>144.72</v>
      </c>
      <c r="K8" s="6"/>
      <c r="L8" s="28"/>
      <c r="M8" s="269">
        <f>N8*O8</f>
        <v>12037590</v>
      </c>
      <c r="N8" s="6">
        <v>30.63</v>
      </c>
      <c r="O8" s="22">
        <v>393000</v>
      </c>
      <c r="P8" s="6" t="s">
        <v>82</v>
      </c>
      <c r="Q8" s="6" t="s">
        <v>428</v>
      </c>
      <c r="R8" s="63" t="s">
        <v>158</v>
      </c>
      <c r="S8" s="34" t="s">
        <v>426</v>
      </c>
    </row>
    <row r="9" spans="2:19" ht="33" customHeight="1">
      <c r="B9" s="259">
        <v>500</v>
      </c>
      <c r="D9" s="35"/>
      <c r="F9" s="35"/>
      <c r="G9" s="269">
        <f>(N9-J9)*O9</f>
        <v>47030400</v>
      </c>
      <c r="H9" s="269"/>
      <c r="I9" s="269">
        <f>J9*O9</f>
        <v>0</v>
      </c>
      <c r="J9" s="49">
        <v>0</v>
      </c>
      <c r="K9" s="6"/>
      <c r="L9" s="28"/>
      <c r="M9" s="269">
        <f>N9*O9</f>
        <v>47030400</v>
      </c>
      <c r="N9" s="6">
        <v>110.4</v>
      </c>
      <c r="O9" s="22">
        <v>426000</v>
      </c>
      <c r="P9" s="6" t="s">
        <v>64</v>
      </c>
      <c r="Q9" s="6" t="s">
        <v>429</v>
      </c>
      <c r="R9" s="63" t="s">
        <v>158</v>
      </c>
      <c r="S9" s="34" t="s">
        <v>427</v>
      </c>
    </row>
    <row r="10" spans="2:19" ht="33" customHeight="1">
      <c r="B10" s="259">
        <v>300</v>
      </c>
      <c r="D10" s="20"/>
      <c r="F10" s="20"/>
      <c r="G10" s="269">
        <f t="shared" ref="G10:G15" si="0">(N10-J10)*O10</f>
        <v>30677640</v>
      </c>
      <c r="H10" s="269"/>
      <c r="I10" s="269">
        <f>J10*O10</f>
        <v>0</v>
      </c>
      <c r="J10" s="49">
        <v>0</v>
      </c>
      <c r="K10" s="6"/>
      <c r="L10" s="28"/>
      <c r="M10" s="269">
        <f t="shared" ref="M10:M15" si="1">N10*O10</f>
        <v>30677640</v>
      </c>
      <c r="N10" s="6">
        <v>99.12</v>
      </c>
      <c r="O10" s="22">
        <v>309500</v>
      </c>
      <c r="P10" s="6" t="s">
        <v>64</v>
      </c>
      <c r="Q10" s="6" t="s">
        <v>431</v>
      </c>
      <c r="R10" s="63" t="s">
        <v>158</v>
      </c>
      <c r="S10" s="34" t="s">
        <v>430</v>
      </c>
    </row>
    <row r="11" spans="2:19" ht="33" customHeight="1">
      <c r="B11" s="259">
        <v>1050</v>
      </c>
      <c r="D11" s="20">
        <v>521.12</v>
      </c>
      <c r="F11" s="20"/>
      <c r="G11" s="269"/>
      <c r="H11" s="269">
        <f t="shared" ref="H11:H13" si="2">(J11-N11)*O11</f>
        <v>47333215</v>
      </c>
      <c r="I11" s="269">
        <f t="shared" ref="I11:I15" si="3">J11*O11</f>
        <v>65134495</v>
      </c>
      <c r="J11" s="49">
        <v>147.53</v>
      </c>
      <c r="K11" s="6"/>
      <c r="L11" s="28"/>
      <c r="M11" s="269">
        <f t="shared" si="1"/>
        <v>17801280</v>
      </c>
      <c r="N11" s="6">
        <v>40.32</v>
      </c>
      <c r="O11" s="359">
        <v>441500</v>
      </c>
      <c r="P11" s="6" t="s">
        <v>64</v>
      </c>
      <c r="Q11" s="6" t="s">
        <v>433</v>
      </c>
      <c r="R11" s="63" t="s">
        <v>158</v>
      </c>
      <c r="S11" s="358" t="s">
        <v>432</v>
      </c>
    </row>
    <row r="12" spans="2:19" ht="33" customHeight="1">
      <c r="D12" s="20"/>
      <c r="F12" s="20"/>
      <c r="G12" s="269">
        <f t="shared" si="0"/>
        <v>5056800</v>
      </c>
      <c r="H12" s="269"/>
      <c r="I12" s="269">
        <f t="shared" si="3"/>
        <v>0</v>
      </c>
      <c r="J12" s="49">
        <v>0</v>
      </c>
      <c r="K12" s="6"/>
      <c r="L12" s="28"/>
      <c r="M12" s="269">
        <f t="shared" si="1"/>
        <v>5056800</v>
      </c>
      <c r="N12" s="6">
        <v>23.52</v>
      </c>
      <c r="O12" s="359">
        <v>215000</v>
      </c>
      <c r="P12" s="6" t="s">
        <v>64</v>
      </c>
      <c r="Q12" s="6" t="s">
        <v>435</v>
      </c>
      <c r="R12" s="63" t="s">
        <v>158</v>
      </c>
      <c r="S12" s="358" t="s">
        <v>434</v>
      </c>
    </row>
    <row r="13" spans="2:19" ht="33" customHeight="1">
      <c r="B13" s="259" t="s">
        <v>257</v>
      </c>
      <c r="C13" s="3" t="s">
        <v>280</v>
      </c>
      <c r="D13" s="20">
        <v>496.94</v>
      </c>
      <c r="F13" s="20"/>
      <c r="G13" s="269"/>
      <c r="H13" s="269">
        <f t="shared" si="2"/>
        <v>1467200</v>
      </c>
      <c r="I13" s="269">
        <f t="shared" si="3"/>
        <v>1886400</v>
      </c>
      <c r="J13" s="49">
        <v>14.4</v>
      </c>
      <c r="K13" s="6"/>
      <c r="L13" s="28"/>
      <c r="M13" s="269">
        <f t="shared" si="1"/>
        <v>419200</v>
      </c>
      <c r="N13" s="6">
        <v>3.2</v>
      </c>
      <c r="O13" s="359">
        <v>131000</v>
      </c>
      <c r="P13" s="6" t="s">
        <v>64</v>
      </c>
      <c r="Q13" s="6" t="s">
        <v>437</v>
      </c>
      <c r="R13" s="63" t="s">
        <v>158</v>
      </c>
      <c r="S13" s="358" t="s">
        <v>436</v>
      </c>
    </row>
    <row r="14" spans="2:19" ht="33" customHeight="1">
      <c r="D14" s="20"/>
      <c r="F14" s="20"/>
      <c r="G14" s="269">
        <f t="shared" si="0"/>
        <v>23728200</v>
      </c>
      <c r="H14" s="269"/>
      <c r="I14" s="269">
        <f t="shared" si="3"/>
        <v>0</v>
      </c>
      <c r="J14" s="49">
        <v>0</v>
      </c>
      <c r="K14" s="6"/>
      <c r="L14" s="28"/>
      <c r="M14" s="269">
        <f t="shared" si="1"/>
        <v>23728200</v>
      </c>
      <c r="N14" s="6">
        <v>1114</v>
      </c>
      <c r="O14" s="359">
        <v>21300</v>
      </c>
      <c r="P14" s="6" t="s">
        <v>64</v>
      </c>
      <c r="Q14" s="6" t="s">
        <v>439</v>
      </c>
      <c r="R14" s="63" t="s">
        <v>158</v>
      </c>
      <c r="S14" s="358" t="s">
        <v>438</v>
      </c>
    </row>
    <row r="15" spans="2:19" ht="33" customHeight="1">
      <c r="D15" s="20"/>
      <c r="F15" s="20"/>
      <c r="G15" s="269">
        <f t="shared" si="0"/>
        <v>50624000</v>
      </c>
      <c r="H15" s="269"/>
      <c r="I15" s="269">
        <f t="shared" si="3"/>
        <v>0</v>
      </c>
      <c r="J15" s="49">
        <v>0</v>
      </c>
      <c r="K15" s="6"/>
      <c r="L15" s="28"/>
      <c r="M15" s="269">
        <f t="shared" si="1"/>
        <v>50624000</v>
      </c>
      <c r="N15" s="6">
        <v>128</v>
      </c>
      <c r="O15" s="359">
        <v>395500</v>
      </c>
      <c r="P15" s="6" t="s">
        <v>64</v>
      </c>
      <c r="Q15" s="6" t="s">
        <v>440</v>
      </c>
      <c r="R15" s="63" t="s">
        <v>158</v>
      </c>
      <c r="S15" s="358" t="s">
        <v>321</v>
      </c>
    </row>
    <row r="16" spans="2:19" ht="49.5" customHeight="1" thickBot="1">
      <c r="D16" s="116"/>
      <c r="F16" s="116"/>
      <c r="G16" s="337">
        <f>SUM(G6:G15)</f>
        <v>157117040</v>
      </c>
      <c r="H16" s="337">
        <f>SUM(H6:H15)</f>
        <v>99858985</v>
      </c>
      <c r="I16" s="402">
        <f>SUM(I6:I15)</f>
        <v>130117055</v>
      </c>
      <c r="J16" s="402"/>
      <c r="K16" s="400">
        <f>SUM(K8:K11)</f>
        <v>0</v>
      </c>
      <c r="L16" s="400"/>
      <c r="M16" s="400">
        <f>SUM(M6:M15)</f>
        <v>187375110</v>
      </c>
      <c r="N16" s="400"/>
      <c r="O16" s="39"/>
      <c r="P16" s="115"/>
      <c r="Q16" s="115" t="s">
        <v>6</v>
      </c>
      <c r="R16" s="8"/>
      <c r="S16" s="206"/>
    </row>
    <row r="17" spans="2:20" ht="49.5" customHeight="1">
      <c r="D17" s="13"/>
      <c r="F17" s="13"/>
      <c r="G17" s="99"/>
      <c r="H17" s="37"/>
      <c r="I17" s="50"/>
      <c r="J17" s="50"/>
      <c r="K17" s="37"/>
      <c r="L17" s="37"/>
      <c r="M17" s="99"/>
      <c r="N17" s="37"/>
      <c r="O17" s="24"/>
      <c r="P17" s="9"/>
      <c r="Q17" s="9"/>
      <c r="R17" s="9"/>
      <c r="S17" s="208"/>
    </row>
    <row r="18" spans="2:20" ht="23.25" hidden="1" customHeight="1">
      <c r="D18" s="77"/>
      <c r="F18" s="173"/>
      <c r="G18" s="382" t="s">
        <v>300</v>
      </c>
      <c r="H18" s="382"/>
      <c r="I18" s="382" t="s">
        <v>145</v>
      </c>
      <c r="J18" s="382"/>
      <c r="K18" s="78"/>
      <c r="L18" s="78"/>
      <c r="M18" s="199"/>
      <c r="N18" s="78"/>
      <c r="O18" s="79"/>
      <c r="P18" s="78"/>
      <c r="Q18" s="80" t="s">
        <v>171</v>
      </c>
      <c r="R18" s="41"/>
      <c r="S18" s="219"/>
    </row>
    <row r="19" spans="2:20" ht="23.25" hidden="1" customHeight="1">
      <c r="D19" s="81"/>
      <c r="F19" s="174"/>
      <c r="G19" s="96"/>
      <c r="H19" s="82"/>
      <c r="I19" s="83"/>
      <c r="J19" s="143" t="s">
        <v>146</v>
      </c>
      <c r="K19" s="144"/>
      <c r="L19" s="144"/>
      <c r="M19" s="200"/>
      <c r="N19" s="144"/>
      <c r="O19" s="135"/>
      <c r="P19" s="144"/>
      <c r="Q19" s="84" t="s">
        <v>292</v>
      </c>
      <c r="R19" s="56"/>
      <c r="S19" s="175"/>
    </row>
    <row r="20" spans="2:20" ht="23.25" hidden="1" customHeight="1" thickBot="1">
      <c r="D20" s="85"/>
      <c r="F20" s="85"/>
      <c r="G20" s="145"/>
      <c r="H20" s="136"/>
      <c r="I20" s="146"/>
      <c r="J20" s="146"/>
      <c r="K20" s="136"/>
      <c r="L20" s="136"/>
      <c r="M20" s="145" t="s">
        <v>183</v>
      </c>
      <c r="N20" s="136"/>
      <c r="O20" s="136"/>
      <c r="P20" s="136"/>
      <c r="Q20" s="86" t="s">
        <v>184</v>
      </c>
      <c r="R20" s="42"/>
      <c r="S20" s="205"/>
    </row>
    <row r="21" spans="2:20" ht="25.5" hidden="1" customHeight="1">
      <c r="D21" s="385" t="s">
        <v>144</v>
      </c>
      <c r="F21" s="385" t="s">
        <v>144</v>
      </c>
      <c r="G21" s="406" t="s">
        <v>63</v>
      </c>
      <c r="H21" s="406"/>
      <c r="I21" s="409" t="s">
        <v>170</v>
      </c>
      <c r="J21" s="409"/>
      <c r="K21" s="401" t="s">
        <v>2</v>
      </c>
      <c r="L21" s="401"/>
      <c r="M21" s="401" t="s">
        <v>220</v>
      </c>
      <c r="N21" s="401"/>
      <c r="O21" s="426" t="s">
        <v>139</v>
      </c>
      <c r="P21" s="401" t="s">
        <v>1</v>
      </c>
      <c r="Q21" s="401" t="s">
        <v>138</v>
      </c>
      <c r="R21" s="62"/>
      <c r="S21" s="424" t="s">
        <v>0</v>
      </c>
    </row>
    <row r="22" spans="2:20" ht="25.5" hidden="1" customHeight="1">
      <c r="D22" s="386"/>
      <c r="F22" s="386"/>
      <c r="G22" s="97" t="s">
        <v>143</v>
      </c>
      <c r="H22" s="49" t="s">
        <v>142</v>
      </c>
      <c r="I22" s="49" t="s">
        <v>143</v>
      </c>
      <c r="J22" s="49" t="s">
        <v>142</v>
      </c>
      <c r="K22" s="1" t="s">
        <v>4</v>
      </c>
      <c r="L22" s="1" t="s">
        <v>3</v>
      </c>
      <c r="M22" s="100" t="s">
        <v>141</v>
      </c>
      <c r="N22" s="1" t="s">
        <v>140</v>
      </c>
      <c r="O22" s="427"/>
      <c r="P22" s="422"/>
      <c r="Q22" s="422"/>
      <c r="R22" s="2"/>
      <c r="S22" s="425"/>
    </row>
    <row r="23" spans="2:20" ht="30.75" hidden="1" customHeight="1">
      <c r="D23" s="111">
        <v>10848.34</v>
      </c>
      <c r="E23" s="109"/>
      <c r="F23" s="111"/>
      <c r="G23" s="100">
        <f t="shared" ref="G23:G38" si="4">H23*O23</f>
        <v>29289600</v>
      </c>
      <c r="H23" s="1">
        <v>10848</v>
      </c>
      <c r="I23" s="40">
        <f>J23*O23</f>
        <v>-9036900</v>
      </c>
      <c r="J23" s="49">
        <f>H23-N23</f>
        <v>-3347</v>
      </c>
      <c r="K23" s="6"/>
      <c r="L23" s="4"/>
      <c r="M23" s="191">
        <f t="shared" ref="M23:M38" si="5">N23*O23</f>
        <v>38326500</v>
      </c>
      <c r="N23" s="4">
        <v>14195</v>
      </c>
      <c r="O23" s="22">
        <v>2700</v>
      </c>
      <c r="P23" s="6" t="s">
        <v>35</v>
      </c>
      <c r="Q23" s="45" t="s">
        <v>152</v>
      </c>
      <c r="R23" s="63" t="s">
        <v>158</v>
      </c>
      <c r="S23" s="38" t="s">
        <v>71</v>
      </c>
      <c r="T23" s="30"/>
    </row>
    <row r="24" spans="2:20" ht="30.75" hidden="1" customHeight="1">
      <c r="D24" s="110">
        <v>1205.3599999999999</v>
      </c>
      <c r="E24" s="109"/>
      <c r="F24" s="110"/>
      <c r="G24" s="100">
        <f t="shared" si="4"/>
        <v>18195500</v>
      </c>
      <c r="H24" s="1">
        <v>1205</v>
      </c>
      <c r="I24" s="40">
        <f t="shared" ref="I24:I38" si="6">J24*O24</f>
        <v>18195500</v>
      </c>
      <c r="J24" s="49">
        <f t="shared" ref="J24:J37" si="7">H24-N24</f>
        <v>1205</v>
      </c>
      <c r="K24" s="6"/>
      <c r="L24" s="4"/>
      <c r="M24" s="191">
        <f t="shared" si="5"/>
        <v>0</v>
      </c>
      <c r="N24" s="4"/>
      <c r="O24" s="22">
        <v>15100</v>
      </c>
      <c r="P24" s="6" t="s">
        <v>35</v>
      </c>
      <c r="Q24" s="45" t="s">
        <v>73</v>
      </c>
      <c r="R24" s="63" t="s">
        <v>158</v>
      </c>
      <c r="S24" s="38" t="s">
        <v>72</v>
      </c>
      <c r="T24" s="30"/>
    </row>
    <row r="25" spans="2:20" ht="30.75" hidden="1" customHeight="1">
      <c r="B25" s="259">
        <v>1500</v>
      </c>
      <c r="D25" s="110">
        <v>1250</v>
      </c>
      <c r="E25" s="109"/>
      <c r="F25" s="110"/>
      <c r="G25" s="100">
        <f t="shared" si="4"/>
        <v>42900000</v>
      </c>
      <c r="H25" s="1">
        <f>1250+1500</f>
        <v>2750</v>
      </c>
      <c r="I25" s="40">
        <f t="shared" si="6"/>
        <v>42900000</v>
      </c>
      <c r="J25" s="49">
        <f t="shared" si="7"/>
        <v>2750</v>
      </c>
      <c r="K25" s="6"/>
      <c r="L25" s="4"/>
      <c r="M25" s="191">
        <f t="shared" si="5"/>
        <v>0</v>
      </c>
      <c r="N25" s="4"/>
      <c r="O25" s="22">
        <v>15600</v>
      </c>
      <c r="P25" s="6" t="s">
        <v>35</v>
      </c>
      <c r="Q25" s="45" t="s">
        <v>246</v>
      </c>
      <c r="R25" s="63" t="s">
        <v>158</v>
      </c>
      <c r="S25" s="38" t="s">
        <v>245</v>
      </c>
      <c r="T25" s="30"/>
    </row>
    <row r="26" spans="2:20" ht="30.75" hidden="1" customHeight="1">
      <c r="B26" s="259" t="s">
        <v>265</v>
      </c>
      <c r="C26" s="3" t="s">
        <v>281</v>
      </c>
      <c r="D26" s="110">
        <v>942</v>
      </c>
      <c r="E26" s="109"/>
      <c r="F26" s="110"/>
      <c r="G26" s="100">
        <f t="shared" si="4"/>
        <v>10413420</v>
      </c>
      <c r="H26" s="1">
        <f>942+1000*0.4+420</f>
        <v>1762</v>
      </c>
      <c r="I26" s="40">
        <f t="shared" si="6"/>
        <v>2139420</v>
      </c>
      <c r="J26" s="49">
        <f t="shared" si="7"/>
        <v>362</v>
      </c>
      <c r="K26" s="6"/>
      <c r="L26" s="4"/>
      <c r="M26" s="191">
        <f t="shared" si="5"/>
        <v>8274000</v>
      </c>
      <c r="N26" s="4">
        <v>1400</v>
      </c>
      <c r="O26" s="22">
        <v>5910</v>
      </c>
      <c r="P26" s="6" t="s">
        <v>35</v>
      </c>
      <c r="Q26" s="45" t="s">
        <v>75</v>
      </c>
      <c r="R26" s="63" t="s">
        <v>158</v>
      </c>
      <c r="S26" s="38" t="s">
        <v>74</v>
      </c>
      <c r="T26" s="30"/>
    </row>
    <row r="27" spans="2:20" ht="30.75" hidden="1" customHeight="1">
      <c r="B27" s="259" t="s">
        <v>266</v>
      </c>
      <c r="D27" s="110">
        <v>1152.5999999999999</v>
      </c>
      <c r="E27" s="109"/>
      <c r="F27" s="110"/>
      <c r="G27" s="100">
        <f t="shared" si="4"/>
        <v>40759200</v>
      </c>
      <c r="H27" s="1">
        <f>1152+2520</f>
        <v>3672</v>
      </c>
      <c r="I27" s="40">
        <f t="shared" si="6"/>
        <v>40759200</v>
      </c>
      <c r="J27" s="49">
        <f t="shared" si="7"/>
        <v>3672</v>
      </c>
      <c r="K27" s="6"/>
      <c r="L27" s="4"/>
      <c r="M27" s="191"/>
      <c r="N27" s="4"/>
      <c r="O27" s="22">
        <v>11100</v>
      </c>
      <c r="P27" s="6" t="s">
        <v>35</v>
      </c>
      <c r="Q27" s="45" t="s">
        <v>248</v>
      </c>
      <c r="R27" s="63" t="s">
        <v>158</v>
      </c>
      <c r="S27" s="38" t="s">
        <v>247</v>
      </c>
      <c r="T27" s="30"/>
    </row>
    <row r="28" spans="2:20" ht="30.75" hidden="1" customHeight="1">
      <c r="C28" s="3" t="s">
        <v>282</v>
      </c>
      <c r="D28" s="110">
        <v>1017.33</v>
      </c>
      <c r="E28" s="109"/>
      <c r="F28" s="110"/>
      <c r="G28" s="100">
        <f t="shared" si="4"/>
        <v>97239700</v>
      </c>
      <c r="H28" s="1">
        <f>1017+1000*0.5</f>
        <v>1517</v>
      </c>
      <c r="I28" s="40">
        <f t="shared" si="6"/>
        <v>-5320300</v>
      </c>
      <c r="J28" s="49">
        <f t="shared" si="7"/>
        <v>-83</v>
      </c>
      <c r="K28" s="6"/>
      <c r="L28" s="4"/>
      <c r="M28" s="191">
        <f t="shared" si="5"/>
        <v>102560000</v>
      </c>
      <c r="N28" s="4">
        <v>1600</v>
      </c>
      <c r="O28" s="22">
        <v>64100</v>
      </c>
      <c r="P28" s="6" t="s">
        <v>35</v>
      </c>
      <c r="Q28" s="45" t="s">
        <v>77</v>
      </c>
      <c r="R28" s="63" t="s">
        <v>158</v>
      </c>
      <c r="S28" s="38" t="s">
        <v>76</v>
      </c>
      <c r="T28" s="30"/>
    </row>
    <row r="29" spans="2:20" ht="30.75" hidden="1" customHeight="1">
      <c r="B29" s="259">
        <v>800</v>
      </c>
      <c r="D29" s="110"/>
      <c r="E29" s="109"/>
      <c r="F29" s="110"/>
      <c r="G29" s="100">
        <f t="shared" si="4"/>
        <v>740000</v>
      </c>
      <c r="H29" s="1">
        <v>800</v>
      </c>
      <c r="I29" s="40">
        <f t="shared" si="6"/>
        <v>740000</v>
      </c>
      <c r="J29" s="49">
        <f t="shared" si="7"/>
        <v>800</v>
      </c>
      <c r="K29" s="6"/>
      <c r="L29" s="4"/>
      <c r="M29" s="191">
        <f t="shared" si="5"/>
        <v>0</v>
      </c>
      <c r="N29" s="4"/>
      <c r="O29" s="22">
        <v>925</v>
      </c>
      <c r="P29" s="6" t="s">
        <v>35</v>
      </c>
      <c r="Q29" s="45" t="s">
        <v>80</v>
      </c>
      <c r="R29" s="63" t="s">
        <v>158</v>
      </c>
      <c r="S29" s="38" t="s">
        <v>78</v>
      </c>
      <c r="T29" s="30"/>
    </row>
    <row r="30" spans="2:20" ht="30.75" hidden="1" customHeight="1">
      <c r="D30" s="110"/>
      <c r="E30" s="109"/>
      <c r="F30" s="110"/>
      <c r="G30" s="100">
        <f t="shared" si="4"/>
        <v>2280000</v>
      </c>
      <c r="H30" s="1">
        <v>300</v>
      </c>
      <c r="I30" s="40">
        <f t="shared" si="6"/>
        <v>2280000</v>
      </c>
      <c r="J30" s="49">
        <f t="shared" si="7"/>
        <v>300</v>
      </c>
      <c r="K30" s="6"/>
      <c r="L30" s="4"/>
      <c r="M30" s="191">
        <f t="shared" si="5"/>
        <v>0</v>
      </c>
      <c r="N30" s="4"/>
      <c r="O30" s="22">
        <v>7600</v>
      </c>
      <c r="P30" s="6" t="s">
        <v>35</v>
      </c>
      <c r="Q30" s="45" t="s">
        <v>81</v>
      </c>
      <c r="R30" s="63" t="s">
        <v>158</v>
      </c>
      <c r="S30" s="38" t="s">
        <v>79</v>
      </c>
      <c r="T30" s="30"/>
    </row>
    <row r="31" spans="2:20" ht="30.75" hidden="1" customHeight="1">
      <c r="B31" s="259">
        <v>4200</v>
      </c>
      <c r="C31" s="3">
        <v>1000</v>
      </c>
      <c r="D31" s="110">
        <v>16823.82</v>
      </c>
      <c r="E31" s="109"/>
      <c r="F31" s="110"/>
      <c r="G31" s="100">
        <f t="shared" si="4"/>
        <v>66509460</v>
      </c>
      <c r="H31" s="203">
        <f>16823+1000+4200</f>
        <v>22023</v>
      </c>
      <c r="I31" s="40">
        <f t="shared" si="6"/>
        <v>57449460</v>
      </c>
      <c r="J31" s="49">
        <f t="shared" si="7"/>
        <v>19023</v>
      </c>
      <c r="K31" s="6"/>
      <c r="L31" s="4"/>
      <c r="M31" s="191">
        <f t="shared" si="5"/>
        <v>9060000</v>
      </c>
      <c r="N31" s="4">
        <v>3000</v>
      </c>
      <c r="O31" s="22">
        <v>3020</v>
      </c>
      <c r="P31" s="6" t="s">
        <v>35</v>
      </c>
      <c r="Q31" s="46" t="s">
        <v>41</v>
      </c>
      <c r="R31" s="63" t="s">
        <v>158</v>
      </c>
      <c r="S31" s="31" t="s">
        <v>37</v>
      </c>
      <c r="T31" s="29"/>
    </row>
    <row r="32" spans="2:20" ht="30.75" hidden="1" customHeight="1">
      <c r="B32" s="259" t="s">
        <v>267</v>
      </c>
      <c r="C32" s="3" t="s">
        <v>283</v>
      </c>
      <c r="D32" s="110">
        <v>67702.559999999998</v>
      </c>
      <c r="E32" s="109"/>
      <c r="F32" s="110"/>
      <c r="G32" s="100">
        <f t="shared" si="4"/>
        <v>23453030</v>
      </c>
      <c r="H32" s="1">
        <f>67702+4*1000+4200*4</f>
        <v>88502</v>
      </c>
      <c r="I32" s="40">
        <f t="shared" si="6"/>
        <v>20273030</v>
      </c>
      <c r="J32" s="49">
        <f t="shared" si="7"/>
        <v>76502</v>
      </c>
      <c r="K32" s="6"/>
      <c r="L32" s="4"/>
      <c r="M32" s="191">
        <f t="shared" si="5"/>
        <v>3180000</v>
      </c>
      <c r="N32" s="4">
        <v>12000</v>
      </c>
      <c r="O32" s="22">
        <v>265</v>
      </c>
      <c r="P32" s="6" t="s">
        <v>35</v>
      </c>
      <c r="Q32" s="46" t="s">
        <v>42</v>
      </c>
      <c r="R32" s="63" t="s">
        <v>158</v>
      </c>
      <c r="S32" s="31" t="s">
        <v>38</v>
      </c>
      <c r="T32" s="29"/>
    </row>
    <row r="33" spans="2:20" ht="30.75" hidden="1" customHeight="1">
      <c r="B33" s="259" t="s">
        <v>268</v>
      </c>
      <c r="C33" s="3" t="s">
        <v>284</v>
      </c>
      <c r="D33" s="110">
        <v>161360.4</v>
      </c>
      <c r="E33" s="109"/>
      <c r="F33" s="110"/>
      <c r="G33" s="100">
        <f t="shared" si="4"/>
        <v>183612800</v>
      </c>
      <c r="H33" s="1">
        <f>161360+5*1000+4200*5</f>
        <v>187360</v>
      </c>
      <c r="I33" s="40">
        <f t="shared" si="6"/>
        <v>4466840</v>
      </c>
      <c r="J33" s="49">
        <f t="shared" si="7"/>
        <v>4558</v>
      </c>
      <c r="K33" s="6"/>
      <c r="L33" s="4"/>
      <c r="M33" s="191">
        <f t="shared" si="5"/>
        <v>179145960</v>
      </c>
      <c r="N33" s="4">
        <v>182802</v>
      </c>
      <c r="O33" s="22">
        <v>980</v>
      </c>
      <c r="P33" s="6" t="s">
        <v>44</v>
      </c>
      <c r="Q33" s="46" t="s">
        <v>222</v>
      </c>
      <c r="R33" s="63" t="s">
        <v>158</v>
      </c>
      <c r="S33" s="31" t="s">
        <v>39</v>
      </c>
      <c r="T33" s="29"/>
    </row>
    <row r="34" spans="2:20" ht="30.75" hidden="1" customHeight="1">
      <c r="D34" s="110">
        <v>103500</v>
      </c>
      <c r="E34" s="109"/>
      <c r="F34" s="110"/>
      <c r="G34" s="100">
        <f t="shared" si="4"/>
        <v>92632500</v>
      </c>
      <c r="H34" s="1">
        <v>103500</v>
      </c>
      <c r="I34" s="40">
        <f t="shared" si="6"/>
        <v>-10292500</v>
      </c>
      <c r="J34" s="49">
        <f t="shared" si="7"/>
        <v>-11500</v>
      </c>
      <c r="K34" s="6"/>
      <c r="L34" s="4"/>
      <c r="M34" s="191">
        <f t="shared" si="5"/>
        <v>102925000</v>
      </c>
      <c r="N34" s="4">
        <v>115000</v>
      </c>
      <c r="O34" s="22">
        <v>895</v>
      </c>
      <c r="P34" s="6" t="s">
        <v>44</v>
      </c>
      <c r="Q34" s="46" t="s">
        <v>223</v>
      </c>
      <c r="R34" s="63" t="s">
        <v>158</v>
      </c>
      <c r="S34" s="31" t="s">
        <v>221</v>
      </c>
      <c r="T34" s="29"/>
    </row>
    <row r="35" spans="2:20" ht="30.75" hidden="1" customHeight="1">
      <c r="B35" s="259" t="s">
        <v>269</v>
      </c>
      <c r="C35" s="3" t="s">
        <v>285</v>
      </c>
      <c r="D35" s="110">
        <v>8037.38</v>
      </c>
      <c r="E35" s="109"/>
      <c r="F35" s="110"/>
      <c r="G35" s="100">
        <f t="shared" si="4"/>
        <v>14662800</v>
      </c>
      <c r="H35" s="1">
        <f>8037+780*0.5*5+2232</f>
        <v>12219</v>
      </c>
      <c r="I35" s="40">
        <f t="shared" si="6"/>
        <v>14662800</v>
      </c>
      <c r="J35" s="49">
        <f t="shared" si="7"/>
        <v>12219</v>
      </c>
      <c r="K35" s="6"/>
      <c r="L35" s="4"/>
      <c r="M35" s="191">
        <f t="shared" si="5"/>
        <v>0</v>
      </c>
      <c r="N35" s="4"/>
      <c r="O35" s="105">
        <v>1200</v>
      </c>
      <c r="P35" s="10" t="s">
        <v>44</v>
      </c>
      <c r="Q35" s="47" t="s">
        <v>43</v>
      </c>
      <c r="R35" s="63" t="s">
        <v>158</v>
      </c>
      <c r="S35" s="31" t="s">
        <v>40</v>
      </c>
      <c r="T35" s="29"/>
    </row>
    <row r="36" spans="2:20" ht="30.75" hidden="1" customHeight="1">
      <c r="D36" s="110">
        <v>23833.7</v>
      </c>
      <c r="E36" s="109"/>
      <c r="F36" s="110"/>
      <c r="G36" s="100">
        <f t="shared" si="4"/>
        <v>412300000</v>
      </c>
      <c r="H36" s="1">
        <f>H38+H136</f>
        <v>11780</v>
      </c>
      <c r="I36" s="40">
        <f t="shared" si="6"/>
        <v>-791420000</v>
      </c>
      <c r="J36" s="49">
        <f t="shared" si="7"/>
        <v>-22612</v>
      </c>
      <c r="K36" s="6"/>
      <c r="L36" s="4"/>
      <c r="M36" s="192">
        <f t="shared" si="5"/>
        <v>1203720000</v>
      </c>
      <c r="N36" s="4">
        <v>34392</v>
      </c>
      <c r="O36" s="105">
        <v>35000</v>
      </c>
      <c r="P36" s="6" t="s">
        <v>35</v>
      </c>
      <c r="Q36" s="48" t="s">
        <v>225</v>
      </c>
      <c r="R36" s="63" t="s">
        <v>158</v>
      </c>
      <c r="S36" s="31" t="s">
        <v>224</v>
      </c>
      <c r="T36" s="29"/>
    </row>
    <row r="37" spans="2:20" ht="30.75" hidden="1" customHeight="1">
      <c r="D37" s="112"/>
      <c r="E37" s="109"/>
      <c r="F37" s="112"/>
      <c r="G37" s="100">
        <f t="shared" si="4"/>
        <v>2060000</v>
      </c>
      <c r="H37" s="1">
        <v>4000</v>
      </c>
      <c r="I37" s="40">
        <f t="shared" si="6"/>
        <v>2060000</v>
      </c>
      <c r="J37" s="49">
        <f t="shared" si="7"/>
        <v>4000</v>
      </c>
      <c r="K37" s="6"/>
      <c r="L37" s="4"/>
      <c r="M37" s="191">
        <f t="shared" si="5"/>
        <v>0</v>
      </c>
      <c r="N37" s="4"/>
      <c r="O37" s="105">
        <v>515</v>
      </c>
      <c r="P37" s="6" t="s">
        <v>35</v>
      </c>
      <c r="Q37" s="48" t="s">
        <v>154</v>
      </c>
      <c r="R37" s="63" t="s">
        <v>158</v>
      </c>
      <c r="S37" s="31" t="s">
        <v>153</v>
      </c>
      <c r="T37" s="29"/>
    </row>
    <row r="38" spans="2:20" ht="30.75" hidden="1" customHeight="1">
      <c r="D38" s="122">
        <v>4500</v>
      </c>
      <c r="E38" s="109"/>
      <c r="F38" s="122"/>
      <c r="G38" s="100">
        <f t="shared" si="4"/>
        <v>306000000</v>
      </c>
      <c r="H38" s="224">
        <v>4500</v>
      </c>
      <c r="I38" s="40">
        <f t="shared" si="6"/>
        <v>-34000000</v>
      </c>
      <c r="J38" s="49">
        <f>H38-N38</f>
        <v>-500</v>
      </c>
      <c r="K38" s="7"/>
      <c r="L38" s="59"/>
      <c r="M38" s="191">
        <f t="shared" si="5"/>
        <v>340000000</v>
      </c>
      <c r="N38" s="59">
        <v>5000</v>
      </c>
      <c r="O38" s="225">
        <v>68000</v>
      </c>
      <c r="P38" s="6" t="s">
        <v>35</v>
      </c>
      <c r="Q38" s="226" t="s">
        <v>227</v>
      </c>
      <c r="R38" s="63" t="s">
        <v>158</v>
      </c>
      <c r="S38" s="227" t="s">
        <v>226</v>
      </c>
      <c r="T38" s="29"/>
    </row>
    <row r="39" spans="2:20" ht="34.5" hidden="1" customHeight="1" thickBot="1">
      <c r="D39" s="118"/>
      <c r="E39" s="109"/>
      <c r="F39" s="118"/>
      <c r="G39" s="397">
        <f>SUM(G23:G38)</f>
        <v>1343048010</v>
      </c>
      <c r="H39" s="398"/>
      <c r="I39" s="402">
        <f>SUM(I23:I38)</f>
        <v>-644143450</v>
      </c>
      <c r="J39" s="402"/>
      <c r="K39" s="400">
        <f>SUM(K23:K37)</f>
        <v>0</v>
      </c>
      <c r="L39" s="400"/>
      <c r="M39" s="400">
        <f>SUM(M23:M38)</f>
        <v>1987191460</v>
      </c>
      <c r="N39" s="400"/>
      <c r="O39" s="119"/>
      <c r="P39" s="117"/>
      <c r="Q39" s="114" t="s">
        <v>5</v>
      </c>
      <c r="R39" s="8" t="s">
        <v>158</v>
      </c>
      <c r="S39" s="209"/>
      <c r="T39" s="29"/>
    </row>
    <row r="40" spans="2:20" ht="49.5" hidden="1" customHeight="1" thickBot="1">
      <c r="D40" s="13"/>
      <c r="F40" s="13"/>
      <c r="G40" s="101"/>
      <c r="H40" s="44"/>
      <c r="I40" s="51"/>
      <c r="J40" s="51"/>
      <c r="K40" s="44"/>
      <c r="L40" s="44"/>
      <c r="M40" s="101"/>
      <c r="N40" s="44"/>
      <c r="O40" s="106"/>
      <c r="P40" s="44"/>
      <c r="Q40" s="19"/>
      <c r="R40" s="70"/>
      <c r="S40" s="210"/>
      <c r="T40" s="29"/>
    </row>
    <row r="41" spans="2:20" ht="23.25" hidden="1" customHeight="1">
      <c r="D41" s="173"/>
      <c r="F41" s="173"/>
      <c r="G41" s="382" t="s">
        <v>300</v>
      </c>
      <c r="H41" s="382"/>
      <c r="I41" s="382" t="s">
        <v>145</v>
      </c>
      <c r="J41" s="382"/>
      <c r="K41" s="78"/>
      <c r="L41" s="78"/>
      <c r="M41" s="199"/>
      <c r="N41" s="78"/>
      <c r="O41" s="79"/>
      <c r="P41" s="78"/>
      <c r="Q41" s="80" t="s">
        <v>171</v>
      </c>
      <c r="R41" s="41"/>
      <c r="S41" s="219"/>
    </row>
    <row r="42" spans="2:20" ht="23.25" hidden="1" customHeight="1">
      <c r="D42" s="174"/>
      <c r="F42" s="174"/>
      <c r="G42" s="96"/>
      <c r="H42" s="82"/>
      <c r="I42" s="83"/>
      <c r="J42" s="143" t="s">
        <v>146</v>
      </c>
      <c r="K42" s="144"/>
      <c r="L42" s="144"/>
      <c r="M42" s="200"/>
      <c r="N42" s="144"/>
      <c r="O42" s="135"/>
      <c r="P42" s="144"/>
      <c r="Q42" s="84" t="s">
        <v>292</v>
      </c>
      <c r="R42" s="56"/>
      <c r="S42" s="175"/>
    </row>
    <row r="43" spans="2:20" ht="25.5" hidden="1" customHeight="1" thickBot="1">
      <c r="D43" s="176"/>
      <c r="F43" s="176"/>
      <c r="G43" s="145"/>
      <c r="H43" s="136"/>
      <c r="I43" s="146"/>
      <c r="J43" s="146"/>
      <c r="K43" s="136"/>
      <c r="L43" s="136"/>
      <c r="M43" s="145" t="s">
        <v>183</v>
      </c>
      <c r="N43" s="136"/>
      <c r="O43" s="136"/>
      <c r="P43" s="136"/>
      <c r="Q43" s="86" t="s">
        <v>185</v>
      </c>
      <c r="R43" s="42"/>
      <c r="S43" s="220"/>
    </row>
    <row r="44" spans="2:20" ht="25.5" hidden="1" customHeight="1">
      <c r="C44" s="3" t="s">
        <v>288</v>
      </c>
      <c r="D44" s="249">
        <v>462.4</v>
      </c>
      <c r="F44" s="249"/>
      <c r="G44" s="250">
        <f>H44*O44</f>
        <v>44737000</v>
      </c>
      <c r="H44" s="251">
        <f>462+100*7</f>
        <v>1162</v>
      </c>
      <c r="I44" s="40">
        <f>J44*O44</f>
        <v>42427000</v>
      </c>
      <c r="J44" s="268">
        <f>H44-N44</f>
        <v>1102</v>
      </c>
      <c r="K44" s="251"/>
      <c r="L44" s="251"/>
      <c r="M44" s="252">
        <f>N44*O44</f>
        <v>2310000</v>
      </c>
      <c r="N44" s="253">
        <v>60</v>
      </c>
      <c r="O44" s="254">
        <v>38500</v>
      </c>
      <c r="P44" s="255" t="s">
        <v>187</v>
      </c>
      <c r="Q44" s="256" t="s">
        <v>229</v>
      </c>
      <c r="R44" s="257"/>
      <c r="S44" s="258" t="s">
        <v>228</v>
      </c>
    </row>
    <row r="45" spans="2:20" ht="30.75" hidden="1" customHeight="1">
      <c r="B45" s="259">
        <v>1099</v>
      </c>
      <c r="D45" s="228">
        <v>900</v>
      </c>
      <c r="E45" s="109"/>
      <c r="F45" s="228"/>
      <c r="G45" s="100">
        <f t="shared" ref="G45:G58" si="8">H45*O45</f>
        <v>184307800</v>
      </c>
      <c r="H45" s="1">
        <f>900+1099</f>
        <v>1999</v>
      </c>
      <c r="I45" s="40">
        <f t="shared" ref="I45:I58" si="9">J45*O45</f>
        <v>168910400</v>
      </c>
      <c r="J45" s="49">
        <f t="shared" ref="J45:J58" si="10">H45-N45</f>
        <v>1832</v>
      </c>
      <c r="K45" s="1"/>
      <c r="L45" s="1"/>
      <c r="M45" s="242">
        <f t="shared" ref="M45:M58" si="11">N45*O45</f>
        <v>15397400</v>
      </c>
      <c r="N45" s="231">
        <v>167</v>
      </c>
      <c r="O45" s="232">
        <v>92200</v>
      </c>
      <c r="P45" s="229" t="s">
        <v>187</v>
      </c>
      <c r="Q45" s="230" t="s">
        <v>186</v>
      </c>
      <c r="R45" s="63"/>
      <c r="S45" s="34" t="s">
        <v>230</v>
      </c>
    </row>
    <row r="46" spans="2:20" ht="30.75" hidden="1" customHeight="1">
      <c r="D46" s="111"/>
      <c r="E46" s="109"/>
      <c r="F46" s="111"/>
      <c r="G46" s="100">
        <f t="shared" si="8"/>
        <v>0</v>
      </c>
      <c r="H46" s="1"/>
      <c r="I46" s="40">
        <f t="shared" si="9"/>
        <v>0</v>
      </c>
      <c r="J46" s="49">
        <f t="shared" si="10"/>
        <v>0</v>
      </c>
      <c r="K46" s="4"/>
      <c r="L46" s="4"/>
      <c r="M46" s="242">
        <f t="shared" si="11"/>
        <v>0</v>
      </c>
      <c r="N46" s="231"/>
      <c r="O46" s="233">
        <v>104000</v>
      </c>
      <c r="P46" s="152" t="s">
        <v>187</v>
      </c>
      <c r="Q46" s="123" t="s">
        <v>188</v>
      </c>
      <c r="R46" s="63" t="s">
        <v>158</v>
      </c>
      <c r="S46" s="38" t="s">
        <v>83</v>
      </c>
    </row>
    <row r="47" spans="2:20" ht="30.75" hidden="1" customHeight="1">
      <c r="D47" s="111"/>
      <c r="E47" s="109"/>
      <c r="F47" s="111"/>
      <c r="G47" s="100">
        <f t="shared" si="8"/>
        <v>0</v>
      </c>
      <c r="H47" s="1"/>
      <c r="I47" s="40">
        <f t="shared" si="9"/>
        <v>0</v>
      </c>
      <c r="J47" s="49">
        <f t="shared" si="10"/>
        <v>0</v>
      </c>
      <c r="K47" s="4"/>
      <c r="L47" s="4"/>
      <c r="M47" s="242">
        <f t="shared" si="11"/>
        <v>0</v>
      </c>
      <c r="N47" s="231"/>
      <c r="O47" s="234">
        <v>259500</v>
      </c>
      <c r="P47" s="153" t="s">
        <v>187</v>
      </c>
      <c r="Q47" s="124" t="s">
        <v>189</v>
      </c>
      <c r="R47" s="63" t="s">
        <v>158</v>
      </c>
      <c r="S47" s="38" t="s">
        <v>180</v>
      </c>
    </row>
    <row r="48" spans="2:20" ht="30.75" hidden="1" customHeight="1">
      <c r="B48" s="259">
        <v>2000</v>
      </c>
      <c r="D48" s="111">
        <v>1897.39</v>
      </c>
      <c r="E48" s="109"/>
      <c r="F48" s="111"/>
      <c r="G48" s="100">
        <f t="shared" si="8"/>
        <v>1077511000</v>
      </c>
      <c r="H48" s="1">
        <f>1897+2200</f>
        <v>4097</v>
      </c>
      <c r="I48" s="40">
        <f t="shared" si="9"/>
        <v>827398000</v>
      </c>
      <c r="J48" s="49">
        <f t="shared" si="10"/>
        <v>3146</v>
      </c>
      <c r="K48" s="4"/>
      <c r="L48" s="4"/>
      <c r="M48" s="242">
        <f t="shared" si="11"/>
        <v>250113000</v>
      </c>
      <c r="N48" s="231">
        <v>951</v>
      </c>
      <c r="O48" s="235">
        <v>263000</v>
      </c>
      <c r="P48" s="154" t="s">
        <v>187</v>
      </c>
      <c r="Q48" s="125" t="s">
        <v>190</v>
      </c>
      <c r="R48" s="63" t="s">
        <v>158</v>
      </c>
      <c r="S48" s="38" t="s">
        <v>172</v>
      </c>
    </row>
    <row r="49" spans="2:20" ht="30.75" hidden="1" customHeight="1">
      <c r="B49" s="259">
        <v>2000</v>
      </c>
      <c r="D49" s="111">
        <v>1860.03</v>
      </c>
      <c r="E49" s="109"/>
      <c r="F49" s="111"/>
      <c r="G49" s="100">
        <f t="shared" si="8"/>
        <v>220458000</v>
      </c>
      <c r="H49" s="1">
        <f>1860+2200</f>
        <v>4060</v>
      </c>
      <c r="I49" s="40">
        <f t="shared" si="9"/>
        <v>168818700</v>
      </c>
      <c r="J49" s="49">
        <f t="shared" si="10"/>
        <v>3109</v>
      </c>
      <c r="K49" s="4"/>
      <c r="L49" s="4"/>
      <c r="M49" s="242">
        <f t="shared" si="11"/>
        <v>51639300</v>
      </c>
      <c r="N49" s="231">
        <v>951</v>
      </c>
      <c r="O49" s="236">
        <v>54300</v>
      </c>
      <c r="P49" s="155" t="s">
        <v>187</v>
      </c>
      <c r="Q49" s="126" t="s">
        <v>191</v>
      </c>
      <c r="R49" s="63" t="s">
        <v>158</v>
      </c>
      <c r="S49" s="38" t="s">
        <v>173</v>
      </c>
    </row>
    <row r="50" spans="2:20" ht="30.75" hidden="1" customHeight="1">
      <c r="B50" s="259">
        <v>1400</v>
      </c>
      <c r="D50" s="111">
        <v>1964.98</v>
      </c>
      <c r="E50" s="109"/>
      <c r="F50" s="111"/>
      <c r="G50" s="100">
        <f t="shared" si="8"/>
        <v>225388000</v>
      </c>
      <c r="H50" s="1">
        <f>1964+1400</f>
        <v>3364</v>
      </c>
      <c r="I50" s="40">
        <f t="shared" si="9"/>
        <v>134469000</v>
      </c>
      <c r="J50" s="49">
        <f t="shared" si="10"/>
        <v>2007</v>
      </c>
      <c r="K50" s="4"/>
      <c r="L50" s="4"/>
      <c r="M50" s="242">
        <f t="shared" si="11"/>
        <v>90919000</v>
      </c>
      <c r="N50" s="231">
        <v>1357</v>
      </c>
      <c r="O50" s="237">
        <v>67000</v>
      </c>
      <c r="P50" s="156" t="s">
        <v>82</v>
      </c>
      <c r="Q50" s="127" t="s">
        <v>215</v>
      </c>
      <c r="R50" s="63" t="s">
        <v>158</v>
      </c>
      <c r="S50" s="38" t="s">
        <v>214</v>
      </c>
    </row>
    <row r="51" spans="2:20" ht="30.75" hidden="1" customHeight="1">
      <c r="D51" s="111"/>
      <c r="E51" s="109"/>
      <c r="F51" s="111"/>
      <c r="G51" s="100">
        <f t="shared" si="8"/>
        <v>0</v>
      </c>
      <c r="H51" s="1"/>
      <c r="I51" s="40">
        <f t="shared" si="9"/>
        <v>0</v>
      </c>
      <c r="J51" s="49">
        <f t="shared" si="10"/>
        <v>0</v>
      </c>
      <c r="K51" s="4"/>
      <c r="L51" s="4"/>
      <c r="M51" s="242">
        <f t="shared" si="11"/>
        <v>0</v>
      </c>
      <c r="N51" s="231"/>
      <c r="O51" s="238">
        <v>24300</v>
      </c>
      <c r="P51" s="157" t="s">
        <v>187</v>
      </c>
      <c r="Q51" s="128" t="s">
        <v>192</v>
      </c>
      <c r="R51" s="63" t="s">
        <v>158</v>
      </c>
      <c r="S51" s="38" t="s">
        <v>174</v>
      </c>
    </row>
    <row r="52" spans="2:20" ht="30.75" hidden="1" customHeight="1">
      <c r="D52" s="111"/>
      <c r="E52" s="109"/>
      <c r="F52" s="111"/>
      <c r="G52" s="100">
        <f t="shared" si="8"/>
        <v>0</v>
      </c>
      <c r="H52" s="1"/>
      <c r="I52" s="40">
        <f t="shared" si="9"/>
        <v>0</v>
      </c>
      <c r="J52" s="49">
        <f t="shared" si="10"/>
        <v>0</v>
      </c>
      <c r="K52" s="4"/>
      <c r="L52" s="4"/>
      <c r="M52" s="242">
        <f t="shared" si="11"/>
        <v>0</v>
      </c>
      <c r="N52" s="231"/>
      <c r="O52" s="238">
        <v>664000</v>
      </c>
      <c r="P52" s="157" t="s">
        <v>187</v>
      </c>
      <c r="Q52" s="128" t="s">
        <v>261</v>
      </c>
      <c r="R52" s="63" t="s">
        <v>158</v>
      </c>
      <c r="S52" s="38" t="s">
        <v>260</v>
      </c>
    </row>
    <row r="53" spans="2:20" ht="30.75" hidden="1" customHeight="1">
      <c r="B53" s="259">
        <v>70</v>
      </c>
      <c r="D53" s="111"/>
      <c r="E53" s="109"/>
      <c r="F53" s="111"/>
      <c r="G53" s="100">
        <f t="shared" si="8"/>
        <v>2394000</v>
      </c>
      <c r="H53" s="1">
        <v>70</v>
      </c>
      <c r="I53" s="40">
        <f t="shared" si="9"/>
        <v>2394000</v>
      </c>
      <c r="J53" s="49">
        <f t="shared" si="10"/>
        <v>70</v>
      </c>
      <c r="K53" s="4"/>
      <c r="L53" s="4"/>
      <c r="M53" s="242">
        <f t="shared" si="11"/>
        <v>0</v>
      </c>
      <c r="N53" s="231"/>
      <c r="O53" s="238">
        <v>34200</v>
      </c>
      <c r="P53" s="157" t="s">
        <v>187</v>
      </c>
      <c r="Q53" s="262" t="s">
        <v>259</v>
      </c>
      <c r="R53" s="63" t="s">
        <v>158</v>
      </c>
      <c r="S53" s="38" t="s">
        <v>258</v>
      </c>
    </row>
    <row r="54" spans="2:20" ht="30.75" hidden="1" customHeight="1">
      <c r="D54" s="111">
        <v>328.27</v>
      </c>
      <c r="E54" s="109"/>
      <c r="F54" s="111"/>
      <c r="G54" s="100">
        <f t="shared" si="8"/>
        <v>9118400</v>
      </c>
      <c r="H54" s="1">
        <f>328</f>
        <v>328</v>
      </c>
      <c r="I54" s="40">
        <f t="shared" si="9"/>
        <v>3558400</v>
      </c>
      <c r="J54" s="49">
        <f t="shared" si="10"/>
        <v>128</v>
      </c>
      <c r="K54" s="4"/>
      <c r="L54" s="4"/>
      <c r="M54" s="242">
        <f t="shared" si="11"/>
        <v>5560000</v>
      </c>
      <c r="N54" s="231">
        <v>200</v>
      </c>
      <c r="O54" s="239">
        <v>27800</v>
      </c>
      <c r="P54" s="157" t="s">
        <v>187</v>
      </c>
      <c r="Q54" s="129" t="s">
        <v>194</v>
      </c>
      <c r="R54" s="63" t="s">
        <v>158</v>
      </c>
      <c r="S54" s="38" t="s">
        <v>175</v>
      </c>
    </row>
    <row r="55" spans="2:20" ht="30.75" hidden="1" customHeight="1">
      <c r="D55" s="111">
        <v>964.17</v>
      </c>
      <c r="E55" s="109"/>
      <c r="F55" s="111"/>
      <c r="G55" s="100">
        <f t="shared" si="8"/>
        <v>29787600</v>
      </c>
      <c r="H55" s="1">
        <v>964</v>
      </c>
      <c r="I55" s="40">
        <f t="shared" si="9"/>
        <v>2163000</v>
      </c>
      <c r="J55" s="49">
        <f t="shared" si="10"/>
        <v>70</v>
      </c>
      <c r="K55" s="4"/>
      <c r="L55" s="4"/>
      <c r="M55" s="242">
        <f t="shared" si="11"/>
        <v>27624600</v>
      </c>
      <c r="N55" s="231">
        <v>894</v>
      </c>
      <c r="O55" s="240">
        <v>30900</v>
      </c>
      <c r="P55" s="158" t="s">
        <v>82</v>
      </c>
      <c r="Q55" s="130" t="s">
        <v>193</v>
      </c>
      <c r="R55" s="63" t="s">
        <v>158</v>
      </c>
      <c r="S55" s="38" t="s">
        <v>176</v>
      </c>
    </row>
    <row r="56" spans="2:20" ht="30.75" hidden="1" customHeight="1">
      <c r="B56" s="259" t="s">
        <v>293</v>
      </c>
      <c r="C56" s="3" t="s">
        <v>289</v>
      </c>
      <c r="D56" s="110">
        <v>27261</v>
      </c>
      <c r="E56" s="109"/>
      <c r="F56" s="110"/>
      <c r="G56" s="100">
        <f t="shared" si="8"/>
        <v>55821780</v>
      </c>
      <c r="H56" s="1">
        <f>27261+700*9+2000*9*1.3</f>
        <v>56961</v>
      </c>
      <c r="I56" s="40">
        <f t="shared" si="9"/>
        <v>44388120</v>
      </c>
      <c r="J56" s="49">
        <f t="shared" si="10"/>
        <v>45294</v>
      </c>
      <c r="K56" s="4"/>
      <c r="L56" s="4"/>
      <c r="M56" s="242">
        <f t="shared" si="11"/>
        <v>11433660</v>
      </c>
      <c r="N56" s="231">
        <v>11667</v>
      </c>
      <c r="O56" s="241">
        <v>980</v>
      </c>
      <c r="P56" s="6" t="s">
        <v>44</v>
      </c>
      <c r="Q56" s="45" t="s">
        <v>84</v>
      </c>
      <c r="R56" s="63" t="s">
        <v>158</v>
      </c>
      <c r="S56" s="38" t="s">
        <v>85</v>
      </c>
    </row>
    <row r="57" spans="2:20" ht="30.75" hidden="1" customHeight="1">
      <c r="B57" s="259" t="s">
        <v>294</v>
      </c>
      <c r="C57" s="3" t="s">
        <v>290</v>
      </c>
      <c r="D57" s="110">
        <v>76580.14</v>
      </c>
      <c r="E57" s="109"/>
      <c r="F57" s="110"/>
      <c r="G57" s="100">
        <f t="shared" si="8"/>
        <v>127609100</v>
      </c>
      <c r="H57" s="1">
        <f>76580+700*20+2000*20*1.3</f>
        <v>142580</v>
      </c>
      <c r="I57" s="40">
        <f t="shared" si="9"/>
        <v>104405330</v>
      </c>
      <c r="J57" s="49">
        <f t="shared" si="10"/>
        <v>116654</v>
      </c>
      <c r="K57" s="4"/>
      <c r="L57" s="4"/>
      <c r="M57" s="242">
        <f t="shared" si="11"/>
        <v>23203770</v>
      </c>
      <c r="N57" s="231">
        <v>25926</v>
      </c>
      <c r="O57" s="241">
        <v>895</v>
      </c>
      <c r="P57" s="6" t="s">
        <v>44</v>
      </c>
      <c r="Q57" s="45" t="s">
        <v>181</v>
      </c>
      <c r="R57" s="63" t="s">
        <v>158</v>
      </c>
      <c r="S57" s="38" t="s">
        <v>128</v>
      </c>
    </row>
    <row r="58" spans="2:20" ht="30.75" hidden="1" customHeight="1">
      <c r="B58" s="259" t="s">
        <v>295</v>
      </c>
      <c r="D58" s="122">
        <v>53865.71</v>
      </c>
      <c r="E58" s="109"/>
      <c r="F58" s="122"/>
      <c r="G58" s="100">
        <f t="shared" si="8"/>
        <v>68257475</v>
      </c>
      <c r="H58" s="58">
        <f>53865+2000*16*1.3</f>
        <v>95465</v>
      </c>
      <c r="I58" s="40">
        <f t="shared" si="9"/>
        <v>54114060</v>
      </c>
      <c r="J58" s="49">
        <f t="shared" si="10"/>
        <v>75684</v>
      </c>
      <c r="K58" s="59"/>
      <c r="L58" s="59"/>
      <c r="M58" s="242">
        <f t="shared" si="11"/>
        <v>14143415</v>
      </c>
      <c r="N58" s="231">
        <v>19781</v>
      </c>
      <c r="O58" s="241">
        <v>715</v>
      </c>
      <c r="P58" s="6" t="s">
        <v>44</v>
      </c>
      <c r="Q58" s="45" t="s">
        <v>157</v>
      </c>
      <c r="R58" s="63" t="s">
        <v>158</v>
      </c>
      <c r="S58" s="61" t="s">
        <v>156</v>
      </c>
    </row>
    <row r="59" spans="2:20" ht="36.75" hidden="1" customHeight="1" thickBot="1">
      <c r="D59" s="131"/>
      <c r="F59" s="131"/>
      <c r="G59" s="397">
        <f>SUM(G44:G58)</f>
        <v>2045390155</v>
      </c>
      <c r="H59" s="398"/>
      <c r="I59" s="399">
        <f>SUM(I44:I58)</f>
        <v>1553046010</v>
      </c>
      <c r="J59" s="399"/>
      <c r="K59" s="411">
        <f>SUM(K46:K57)</f>
        <v>0</v>
      </c>
      <c r="L59" s="411"/>
      <c r="M59" s="411">
        <f>SUM(M44:M58)</f>
        <v>492344145</v>
      </c>
      <c r="N59" s="411"/>
      <c r="O59" s="133"/>
      <c r="P59" s="132"/>
      <c r="Q59" s="134" t="s">
        <v>86</v>
      </c>
      <c r="R59" s="8" t="s">
        <v>158</v>
      </c>
      <c r="S59" s="209"/>
      <c r="T59" s="29"/>
    </row>
    <row r="60" spans="2:20" ht="49.5" hidden="1" customHeight="1" thickBot="1">
      <c r="D60" s="89"/>
      <c r="F60" s="89"/>
      <c r="G60" s="102"/>
      <c r="H60" s="92"/>
      <c r="I60" s="93"/>
      <c r="J60" s="93"/>
      <c r="K60" s="92"/>
      <c r="L60" s="92"/>
      <c r="M60" s="102"/>
      <c r="N60" s="92"/>
      <c r="O60" s="107"/>
      <c r="P60" s="92"/>
      <c r="Q60" s="94"/>
      <c r="R60" s="69"/>
      <c r="S60" s="211"/>
      <c r="T60" s="29"/>
    </row>
    <row r="61" spans="2:20" ht="23.25" hidden="1" customHeight="1">
      <c r="D61" s="77"/>
      <c r="F61" s="173"/>
      <c r="G61" s="382" t="s">
        <v>300</v>
      </c>
      <c r="H61" s="382"/>
      <c r="I61" s="382" t="s">
        <v>145</v>
      </c>
      <c r="J61" s="382"/>
      <c r="K61" s="78"/>
      <c r="L61" s="78"/>
      <c r="M61" s="199"/>
      <c r="N61" s="78"/>
      <c r="O61" s="79"/>
      <c r="P61" s="78"/>
      <c r="Q61" s="80" t="s">
        <v>171</v>
      </c>
      <c r="R61" s="41"/>
      <c r="S61" s="219"/>
    </row>
    <row r="62" spans="2:20" ht="23.25" hidden="1" customHeight="1">
      <c r="D62" s="81"/>
      <c r="F62" s="174"/>
      <c r="G62" s="96"/>
      <c r="H62" s="82"/>
      <c r="I62" s="83"/>
      <c r="J62" s="143" t="s">
        <v>146</v>
      </c>
      <c r="K62" s="144"/>
      <c r="L62" s="144"/>
      <c r="M62" s="200"/>
      <c r="N62" s="144"/>
      <c r="O62" s="135"/>
      <c r="P62" s="144"/>
      <c r="Q62" s="84" t="s">
        <v>292</v>
      </c>
      <c r="R62" s="56"/>
      <c r="S62" s="175"/>
    </row>
    <row r="63" spans="2:20" ht="23.25" hidden="1" customHeight="1" thickBot="1">
      <c r="D63" s="85"/>
      <c r="F63" s="85"/>
      <c r="G63" s="145"/>
      <c r="H63" s="136"/>
      <c r="I63" s="146"/>
      <c r="J63" s="146"/>
      <c r="K63" s="136"/>
      <c r="L63" s="136"/>
      <c r="M63" s="145" t="s">
        <v>183</v>
      </c>
      <c r="N63" s="136"/>
      <c r="O63" s="136"/>
      <c r="P63" s="136"/>
      <c r="Q63" s="86" t="s">
        <v>195</v>
      </c>
      <c r="R63" s="42"/>
      <c r="S63" s="205"/>
    </row>
    <row r="64" spans="2:20" ht="25.5" hidden="1" customHeight="1">
      <c r="D64" s="385" t="s">
        <v>144</v>
      </c>
      <c r="F64" s="385" t="s">
        <v>144</v>
      </c>
      <c r="G64" s="406" t="s">
        <v>63</v>
      </c>
      <c r="H64" s="406"/>
      <c r="I64" s="409" t="s">
        <v>170</v>
      </c>
      <c r="J64" s="409"/>
      <c r="K64" s="401" t="s">
        <v>2</v>
      </c>
      <c r="L64" s="401"/>
      <c r="M64" s="401" t="s">
        <v>169</v>
      </c>
      <c r="N64" s="401"/>
      <c r="O64" s="426" t="s">
        <v>139</v>
      </c>
      <c r="P64" s="401" t="s">
        <v>1</v>
      </c>
      <c r="Q64" s="401" t="s">
        <v>138</v>
      </c>
      <c r="R64" s="62"/>
      <c r="S64" s="424" t="s">
        <v>0</v>
      </c>
    </row>
    <row r="65" spans="2:20" ht="25.5" hidden="1" customHeight="1">
      <c r="D65" s="386"/>
      <c r="F65" s="386"/>
      <c r="G65" s="97" t="s">
        <v>143</v>
      </c>
      <c r="H65" s="49" t="s">
        <v>142</v>
      </c>
      <c r="I65" s="49" t="s">
        <v>143</v>
      </c>
      <c r="J65" s="49" t="s">
        <v>142</v>
      </c>
      <c r="K65" s="1" t="s">
        <v>4</v>
      </c>
      <c r="L65" s="1" t="s">
        <v>3</v>
      </c>
      <c r="M65" s="100" t="s">
        <v>141</v>
      </c>
      <c r="N65" s="1" t="s">
        <v>140</v>
      </c>
      <c r="O65" s="427"/>
      <c r="P65" s="422"/>
      <c r="Q65" s="422"/>
      <c r="R65" s="2"/>
      <c r="S65" s="425"/>
    </row>
    <row r="66" spans="2:20" ht="34.5" hidden="1" customHeight="1">
      <c r="D66" s="35"/>
      <c r="F66" s="35"/>
      <c r="G66" s="100">
        <f>H66*O66</f>
        <v>0</v>
      </c>
      <c r="H66" s="1"/>
      <c r="I66" s="40">
        <f>J66*O66</f>
        <v>0</v>
      </c>
      <c r="J66" s="49">
        <f>H66-N66</f>
        <v>0</v>
      </c>
      <c r="K66" s="6"/>
      <c r="L66" s="4"/>
      <c r="M66" s="191"/>
      <c r="N66" s="4"/>
      <c r="O66" s="147">
        <v>25900</v>
      </c>
      <c r="P66" s="159" t="s">
        <v>82</v>
      </c>
      <c r="Q66" s="137" t="s">
        <v>196</v>
      </c>
      <c r="R66" s="63" t="s">
        <v>158</v>
      </c>
      <c r="S66" s="38" t="s">
        <v>177</v>
      </c>
      <c r="T66" s="29"/>
    </row>
    <row r="67" spans="2:20" ht="34.5" hidden="1" customHeight="1">
      <c r="D67" s="35"/>
      <c r="F67" s="35"/>
      <c r="G67" s="100">
        <f>H67*O67</f>
        <v>0</v>
      </c>
      <c r="H67" s="1"/>
      <c r="I67" s="40">
        <f>J67*O67</f>
        <v>0</v>
      </c>
      <c r="J67" s="49">
        <f>H67-N67</f>
        <v>0</v>
      </c>
      <c r="K67" s="6"/>
      <c r="L67" s="4"/>
      <c r="M67" s="191"/>
      <c r="N67" s="4"/>
      <c r="O67" s="148">
        <v>39700</v>
      </c>
      <c r="P67" s="160" t="s">
        <v>82</v>
      </c>
      <c r="Q67" s="138" t="s">
        <v>197</v>
      </c>
      <c r="R67" s="63" t="s">
        <v>158</v>
      </c>
      <c r="S67" s="38" t="s">
        <v>178</v>
      </c>
      <c r="T67" s="29"/>
    </row>
    <row r="68" spans="2:20" ht="34.5" hidden="1" customHeight="1">
      <c r="B68" s="259">
        <v>1613</v>
      </c>
      <c r="D68" s="35">
        <v>1964.98</v>
      </c>
      <c r="F68" s="35"/>
      <c r="G68" s="100">
        <f>H68*O68</f>
        <v>29689100</v>
      </c>
      <c r="H68" s="1">
        <f>1964+1613</f>
        <v>3577</v>
      </c>
      <c r="I68" s="40">
        <f>J68*O68</f>
        <v>18426000</v>
      </c>
      <c r="J68" s="49">
        <f>H68-N68</f>
        <v>2220</v>
      </c>
      <c r="K68" s="6"/>
      <c r="L68" s="4"/>
      <c r="M68" s="191">
        <f>N68*O68</f>
        <v>11263100</v>
      </c>
      <c r="N68" s="4">
        <v>1357</v>
      </c>
      <c r="O68" s="149">
        <v>8300</v>
      </c>
      <c r="P68" s="161" t="s">
        <v>82</v>
      </c>
      <c r="Q68" s="222" t="s">
        <v>217</v>
      </c>
      <c r="R68" s="63" t="s">
        <v>158</v>
      </c>
      <c r="S68" s="38" t="s">
        <v>216</v>
      </c>
      <c r="T68" s="29"/>
    </row>
    <row r="69" spans="2:20" ht="34.5" hidden="1" customHeight="1">
      <c r="D69" s="35">
        <v>333.12</v>
      </c>
      <c r="F69" s="35"/>
      <c r="G69" s="100">
        <f>H69*O69</f>
        <v>1698300</v>
      </c>
      <c r="H69" s="1">
        <v>333</v>
      </c>
      <c r="I69" s="40">
        <f>J69*O69</f>
        <v>234600</v>
      </c>
      <c r="J69" s="49">
        <f>H69-N69</f>
        <v>46</v>
      </c>
      <c r="K69" s="6"/>
      <c r="L69" s="4"/>
      <c r="M69" s="191">
        <f>N69*O69</f>
        <v>1463700</v>
      </c>
      <c r="N69" s="4">
        <v>287</v>
      </c>
      <c r="O69" s="150">
        <v>5100</v>
      </c>
      <c r="P69" s="162" t="s">
        <v>82</v>
      </c>
      <c r="Q69" s="139" t="s">
        <v>198</v>
      </c>
      <c r="R69" s="63" t="s">
        <v>158</v>
      </c>
      <c r="S69" s="38" t="s">
        <v>179</v>
      </c>
      <c r="T69" s="29"/>
    </row>
    <row r="70" spans="2:20" ht="33.75" hidden="1" customHeight="1" thickBot="1">
      <c r="D70" s="21"/>
      <c r="F70" s="21"/>
      <c r="G70" s="395">
        <f>SUM(G66:G69)</f>
        <v>31387400</v>
      </c>
      <c r="H70" s="396"/>
      <c r="I70" s="416">
        <f>SUM(I66:I69)</f>
        <v>18660600</v>
      </c>
      <c r="J70" s="417"/>
      <c r="K70" s="8">
        <f>L70*O70</f>
        <v>0</v>
      </c>
      <c r="L70" s="15"/>
      <c r="M70" s="418">
        <f>SUM(M68:M69)</f>
        <v>12726800</v>
      </c>
      <c r="N70" s="419"/>
      <c r="O70" s="23"/>
      <c r="P70" s="8"/>
      <c r="Q70" s="134" t="s">
        <v>199</v>
      </c>
      <c r="R70" s="120" t="s">
        <v>158</v>
      </c>
      <c r="S70" s="121"/>
      <c r="T70" s="29"/>
    </row>
    <row r="71" spans="2:20" ht="25.5" hidden="1" customHeight="1" thickBot="1">
      <c r="D71" s="85"/>
      <c r="F71" s="85"/>
      <c r="G71" s="145"/>
      <c r="H71" s="136"/>
      <c r="I71" s="146"/>
      <c r="J71" s="146"/>
      <c r="K71" s="136"/>
      <c r="L71" s="136"/>
      <c r="M71" s="145" t="s">
        <v>183</v>
      </c>
      <c r="N71" s="136"/>
      <c r="O71" s="136"/>
      <c r="P71" s="136"/>
      <c r="Q71" s="86" t="s">
        <v>200</v>
      </c>
      <c r="R71" s="42"/>
      <c r="S71" s="205"/>
    </row>
    <row r="72" spans="2:20" ht="30" hidden="1" customHeight="1">
      <c r="B72" s="259" t="s">
        <v>262</v>
      </c>
      <c r="C72" s="3">
        <v>300</v>
      </c>
      <c r="D72" s="91">
        <v>184.4</v>
      </c>
      <c r="F72" s="91"/>
      <c r="G72" s="141">
        <f>H72*O72</f>
        <v>50483200</v>
      </c>
      <c r="H72" s="49">
        <f>184+300+540</f>
        <v>1024</v>
      </c>
      <c r="I72" s="40">
        <f>J72*O72</f>
        <v>39144200</v>
      </c>
      <c r="J72" s="49">
        <f>H72-N72</f>
        <v>794</v>
      </c>
      <c r="K72" s="1"/>
      <c r="L72" s="1"/>
      <c r="M72" s="243">
        <f>N72*O72</f>
        <v>11339000</v>
      </c>
      <c r="N72" s="244">
        <v>230</v>
      </c>
      <c r="O72" s="151">
        <v>49300</v>
      </c>
      <c r="P72" s="163" t="s">
        <v>82</v>
      </c>
      <c r="Q72" s="140" t="s">
        <v>201</v>
      </c>
      <c r="R72" s="63" t="s">
        <v>158</v>
      </c>
      <c r="S72" s="212">
        <v>80101</v>
      </c>
    </row>
    <row r="73" spans="2:20" ht="33" hidden="1" customHeight="1">
      <c r="C73" s="3">
        <v>30</v>
      </c>
      <c r="D73" s="20"/>
      <c r="F73" s="20"/>
      <c r="G73" s="141">
        <f t="shared" ref="G73:G82" si="12">H73*O73</f>
        <v>2082000</v>
      </c>
      <c r="H73" s="1">
        <v>30</v>
      </c>
      <c r="I73" s="40">
        <f t="shared" ref="I73:I82" si="13">J73*O73</f>
        <v>2082000</v>
      </c>
      <c r="J73" s="49">
        <f t="shared" ref="J73:J82" si="14">H73-N73</f>
        <v>30</v>
      </c>
      <c r="K73" s="6"/>
      <c r="L73" s="4"/>
      <c r="M73" s="243">
        <f t="shared" ref="M73:M82" si="15">N73*O73</f>
        <v>0</v>
      </c>
      <c r="N73" s="245"/>
      <c r="O73" s="246">
        <v>69400</v>
      </c>
      <c r="P73" s="6" t="s">
        <v>36</v>
      </c>
      <c r="Q73" s="45" t="s">
        <v>203</v>
      </c>
      <c r="R73" s="63" t="s">
        <v>158</v>
      </c>
      <c r="S73" s="38" t="s">
        <v>114</v>
      </c>
    </row>
    <row r="74" spans="2:20" ht="33" hidden="1" customHeight="1">
      <c r="C74" s="3">
        <v>100</v>
      </c>
      <c r="D74" s="20"/>
      <c r="F74" s="20"/>
      <c r="G74" s="141">
        <f t="shared" si="12"/>
        <v>9650000</v>
      </c>
      <c r="H74" s="1">
        <v>100</v>
      </c>
      <c r="I74" s="40">
        <f t="shared" si="13"/>
        <v>-59830000</v>
      </c>
      <c r="J74" s="49">
        <f t="shared" si="14"/>
        <v>-620</v>
      </c>
      <c r="K74" s="6"/>
      <c r="L74" s="4"/>
      <c r="M74" s="243">
        <f t="shared" si="15"/>
        <v>69480000</v>
      </c>
      <c r="N74" s="245">
        <v>720</v>
      </c>
      <c r="O74" s="246">
        <v>96500</v>
      </c>
      <c r="P74" s="6" t="s">
        <v>36</v>
      </c>
      <c r="Q74" s="45" t="s">
        <v>104</v>
      </c>
      <c r="R74" s="63" t="s">
        <v>158</v>
      </c>
      <c r="S74" s="38" t="s">
        <v>103</v>
      </c>
    </row>
    <row r="75" spans="2:20" ht="33" hidden="1" customHeight="1">
      <c r="C75" s="266">
        <v>600</v>
      </c>
      <c r="D75" s="20"/>
      <c r="F75" s="20"/>
      <c r="G75" s="141">
        <f t="shared" si="12"/>
        <v>53750000</v>
      </c>
      <c r="H75" s="1">
        <v>500</v>
      </c>
      <c r="I75" s="40">
        <f t="shared" si="13"/>
        <v>53750000</v>
      </c>
      <c r="J75" s="49">
        <f t="shared" si="14"/>
        <v>500</v>
      </c>
      <c r="K75" s="6"/>
      <c r="L75" s="4"/>
      <c r="M75" s="243">
        <f t="shared" si="15"/>
        <v>0</v>
      </c>
      <c r="N75" s="245"/>
      <c r="O75" s="246">
        <v>107500</v>
      </c>
      <c r="P75" s="6" t="s">
        <v>36</v>
      </c>
      <c r="Q75" s="45" t="s">
        <v>130</v>
      </c>
      <c r="R75" s="63" t="s">
        <v>158</v>
      </c>
      <c r="S75" s="38" t="s">
        <v>129</v>
      </c>
    </row>
    <row r="76" spans="2:20" ht="33" hidden="1" customHeight="1">
      <c r="C76" s="266">
        <v>470</v>
      </c>
      <c r="D76" s="20"/>
      <c r="F76" s="20"/>
      <c r="G76" s="141">
        <f t="shared" si="12"/>
        <v>42000000</v>
      </c>
      <c r="H76" s="1">
        <v>350</v>
      </c>
      <c r="I76" s="40">
        <f t="shared" si="13"/>
        <v>42000000</v>
      </c>
      <c r="J76" s="49">
        <f t="shared" si="14"/>
        <v>350</v>
      </c>
      <c r="K76" s="6"/>
      <c r="L76" s="4"/>
      <c r="M76" s="243">
        <f t="shared" si="15"/>
        <v>0</v>
      </c>
      <c r="N76" s="245"/>
      <c r="O76" s="246">
        <v>120000</v>
      </c>
      <c r="P76" s="6" t="s">
        <v>36</v>
      </c>
      <c r="Q76" s="45" t="s">
        <v>116</v>
      </c>
      <c r="R76" s="63" t="s">
        <v>158</v>
      </c>
      <c r="S76" s="38" t="s">
        <v>115</v>
      </c>
    </row>
    <row r="77" spans="2:20" ht="33" hidden="1" customHeight="1">
      <c r="D77" s="20">
        <v>1521.75</v>
      </c>
      <c r="F77" s="20"/>
      <c r="G77" s="141">
        <f t="shared" si="12"/>
        <v>238036500</v>
      </c>
      <c r="H77" s="1">
        <v>1521</v>
      </c>
      <c r="I77" s="40">
        <f t="shared" si="13"/>
        <v>-5164500</v>
      </c>
      <c r="J77" s="49">
        <f t="shared" si="14"/>
        <v>-33</v>
      </c>
      <c r="K77" s="6"/>
      <c r="L77" s="4"/>
      <c r="M77" s="243">
        <f t="shared" si="15"/>
        <v>243201000</v>
      </c>
      <c r="N77" s="245">
        <v>1554</v>
      </c>
      <c r="O77" s="246">
        <v>156500</v>
      </c>
      <c r="P77" s="6" t="s">
        <v>36</v>
      </c>
      <c r="Q77" s="45" t="s">
        <v>232</v>
      </c>
      <c r="R77" s="63" t="s">
        <v>158</v>
      </c>
      <c r="S77" s="38" t="s">
        <v>231</v>
      </c>
    </row>
    <row r="78" spans="2:20" ht="33" hidden="1" customHeight="1">
      <c r="D78" s="20"/>
      <c r="F78" s="20"/>
      <c r="G78" s="141">
        <f t="shared" si="12"/>
        <v>0</v>
      </c>
      <c r="H78" s="1"/>
      <c r="I78" s="40">
        <f t="shared" si="13"/>
        <v>0</v>
      </c>
      <c r="J78" s="49">
        <f t="shared" si="14"/>
        <v>0</v>
      </c>
      <c r="K78" s="6"/>
      <c r="L78" s="4"/>
      <c r="M78" s="243">
        <f t="shared" si="15"/>
        <v>0</v>
      </c>
      <c r="N78" s="245"/>
      <c r="O78" s="246">
        <v>37500</v>
      </c>
      <c r="P78" s="6" t="s">
        <v>36</v>
      </c>
      <c r="Q78" s="45" t="s">
        <v>147</v>
      </c>
      <c r="R78" s="63" t="s">
        <v>158</v>
      </c>
      <c r="S78" s="36" t="s">
        <v>132</v>
      </c>
    </row>
    <row r="79" spans="2:20" ht="33" hidden="1" customHeight="1">
      <c r="D79" s="20"/>
      <c r="F79" s="20"/>
      <c r="G79" s="141">
        <f t="shared" si="12"/>
        <v>0</v>
      </c>
      <c r="H79" s="1"/>
      <c r="I79" s="40">
        <f t="shared" si="13"/>
        <v>0</v>
      </c>
      <c r="J79" s="49">
        <f t="shared" si="14"/>
        <v>0</v>
      </c>
      <c r="K79" s="6"/>
      <c r="L79" s="4"/>
      <c r="M79" s="243">
        <f t="shared" si="15"/>
        <v>0</v>
      </c>
      <c r="N79" s="245"/>
      <c r="O79" s="246">
        <v>32400</v>
      </c>
      <c r="P79" s="6" t="s">
        <v>36</v>
      </c>
      <c r="Q79" s="45" t="s">
        <v>133</v>
      </c>
      <c r="R79" s="63" t="s">
        <v>158</v>
      </c>
      <c r="S79" s="36" t="s">
        <v>131</v>
      </c>
    </row>
    <row r="80" spans="2:20" ht="33" hidden="1" customHeight="1">
      <c r="D80" s="20"/>
      <c r="F80" s="20"/>
      <c r="G80" s="141">
        <f t="shared" si="12"/>
        <v>0</v>
      </c>
      <c r="H80" s="1"/>
      <c r="I80" s="40">
        <f t="shared" si="13"/>
        <v>0</v>
      </c>
      <c r="J80" s="49">
        <f t="shared" si="14"/>
        <v>0</v>
      </c>
      <c r="K80" s="6"/>
      <c r="L80" s="4"/>
      <c r="M80" s="243">
        <f t="shared" si="15"/>
        <v>0</v>
      </c>
      <c r="N80" s="245"/>
      <c r="O80" s="246">
        <v>13400</v>
      </c>
      <c r="P80" s="6" t="s">
        <v>36</v>
      </c>
      <c r="Q80" s="46" t="s">
        <v>90</v>
      </c>
      <c r="R80" s="63" t="s">
        <v>158</v>
      </c>
      <c r="S80" s="36" t="s">
        <v>88</v>
      </c>
    </row>
    <row r="81" spans="2:19" ht="33" hidden="1" customHeight="1">
      <c r="B81" s="259">
        <v>5520</v>
      </c>
      <c r="C81" s="3">
        <v>3500</v>
      </c>
      <c r="D81" s="20">
        <v>7547.5</v>
      </c>
      <c r="F81" s="20"/>
      <c r="G81" s="141">
        <f t="shared" si="12"/>
        <v>88799120</v>
      </c>
      <c r="H81" s="1">
        <f>7547+3500+5520</f>
        <v>16567</v>
      </c>
      <c r="I81" s="40">
        <f t="shared" si="13"/>
        <v>84484320</v>
      </c>
      <c r="J81" s="49">
        <f t="shared" si="14"/>
        <v>15762</v>
      </c>
      <c r="K81" s="6"/>
      <c r="L81" s="4"/>
      <c r="M81" s="243">
        <f t="shared" si="15"/>
        <v>4314800</v>
      </c>
      <c r="N81" s="245">
        <v>805</v>
      </c>
      <c r="O81" s="246">
        <v>5360</v>
      </c>
      <c r="P81" s="4" t="s">
        <v>47</v>
      </c>
      <c r="Q81" s="46" t="s">
        <v>46</v>
      </c>
      <c r="R81" s="63" t="s">
        <v>158</v>
      </c>
      <c r="S81" s="36" t="s">
        <v>45</v>
      </c>
    </row>
    <row r="82" spans="2:19" ht="33" hidden="1" customHeight="1">
      <c r="C82" s="3">
        <v>300</v>
      </c>
      <c r="D82" s="20"/>
      <c r="F82" s="20"/>
      <c r="G82" s="141">
        <f t="shared" si="12"/>
        <v>18960000</v>
      </c>
      <c r="H82" s="1">
        <v>300</v>
      </c>
      <c r="I82" s="40">
        <f t="shared" si="13"/>
        <v>18960000</v>
      </c>
      <c r="J82" s="49">
        <f t="shared" si="14"/>
        <v>300</v>
      </c>
      <c r="K82" s="6"/>
      <c r="L82" s="4"/>
      <c r="M82" s="243">
        <f t="shared" si="15"/>
        <v>0</v>
      </c>
      <c r="N82" s="245"/>
      <c r="O82" s="246">
        <v>63200</v>
      </c>
      <c r="P82" s="6" t="s">
        <v>36</v>
      </c>
      <c r="Q82" s="46" t="s">
        <v>87</v>
      </c>
      <c r="R82" s="63" t="s">
        <v>158</v>
      </c>
      <c r="S82" s="36" t="s">
        <v>89</v>
      </c>
    </row>
    <row r="83" spans="2:19" ht="33" hidden="1" customHeight="1" thickBot="1">
      <c r="D83" s="142"/>
      <c r="F83" s="142"/>
      <c r="G83" s="412">
        <f>SUM(G72:G82)</f>
        <v>503760820</v>
      </c>
      <c r="H83" s="413"/>
      <c r="I83" s="399">
        <f>SUM(I72:I82)</f>
        <v>175426020</v>
      </c>
      <c r="J83" s="399"/>
      <c r="K83" s="411">
        <f>SUM(K71:K82)</f>
        <v>0</v>
      </c>
      <c r="L83" s="411"/>
      <c r="M83" s="411">
        <f>SUM(M72:M82)</f>
        <v>328334800</v>
      </c>
      <c r="N83" s="411"/>
      <c r="O83" s="133"/>
      <c r="P83" s="132"/>
      <c r="Q83" s="132" t="s">
        <v>6</v>
      </c>
      <c r="R83" s="8"/>
      <c r="S83" s="209"/>
    </row>
    <row r="84" spans="2:19" ht="49.5" hidden="1" customHeight="1" thickBot="1">
      <c r="D84" s="13"/>
      <c r="F84" s="13"/>
      <c r="G84" s="99"/>
      <c r="H84" s="37"/>
      <c r="I84" s="50"/>
      <c r="J84" s="50"/>
      <c r="K84" s="37"/>
      <c r="L84" s="37"/>
      <c r="M84" s="99"/>
      <c r="N84" s="37"/>
      <c r="O84" s="24"/>
      <c r="P84" s="9"/>
      <c r="Q84" s="9"/>
      <c r="R84" s="70"/>
      <c r="S84" s="208"/>
    </row>
    <row r="85" spans="2:19" ht="25.5" hidden="1" customHeight="1">
      <c r="D85" s="77"/>
      <c r="F85" s="173"/>
      <c r="G85" s="382" t="s">
        <v>300</v>
      </c>
      <c r="H85" s="382"/>
      <c r="I85" s="382" t="s">
        <v>145</v>
      </c>
      <c r="J85" s="382"/>
      <c r="K85" s="78"/>
      <c r="L85" s="78"/>
      <c r="M85" s="199"/>
      <c r="N85" s="78"/>
      <c r="O85" s="79"/>
      <c r="P85" s="78"/>
      <c r="Q85" s="80" t="s">
        <v>171</v>
      </c>
      <c r="R85" s="41"/>
      <c r="S85" s="219"/>
    </row>
    <row r="86" spans="2:19" ht="25.5" hidden="1" customHeight="1">
      <c r="D86" s="81"/>
      <c r="F86" s="174"/>
      <c r="G86" s="96"/>
      <c r="H86" s="82"/>
      <c r="I86" s="83"/>
      <c r="J86" s="143" t="s">
        <v>146</v>
      </c>
      <c r="K86" s="144"/>
      <c r="L86" s="144"/>
      <c r="M86" s="200"/>
      <c r="N86" s="144"/>
      <c r="O86" s="135"/>
      <c r="P86" s="144"/>
      <c r="Q86" s="84" t="s">
        <v>292</v>
      </c>
      <c r="R86" s="56"/>
      <c r="S86" s="175"/>
    </row>
    <row r="87" spans="2:19" ht="25.5" hidden="1" customHeight="1" thickBot="1">
      <c r="D87" s="85"/>
      <c r="F87" s="85"/>
      <c r="G87" s="145"/>
      <c r="H87" s="136"/>
      <c r="I87" s="146"/>
      <c r="J87" s="146"/>
      <c r="K87" s="136"/>
      <c r="L87" s="136"/>
      <c r="M87" s="145" t="s">
        <v>183</v>
      </c>
      <c r="N87" s="136"/>
      <c r="O87" s="136"/>
      <c r="P87" s="136"/>
      <c r="Q87" s="86" t="s">
        <v>202</v>
      </c>
      <c r="R87" s="42"/>
      <c r="S87" s="205"/>
    </row>
    <row r="88" spans="2:19" ht="30" hidden="1" customHeight="1">
      <c r="D88" s="385" t="s">
        <v>144</v>
      </c>
      <c r="F88" s="385"/>
      <c r="G88" s="406" t="s">
        <v>63</v>
      </c>
      <c r="H88" s="406"/>
      <c r="I88" s="409" t="s">
        <v>170</v>
      </c>
      <c r="J88" s="409"/>
      <c r="K88" s="401" t="s">
        <v>2</v>
      </c>
      <c r="L88" s="401"/>
      <c r="M88" s="401" t="s">
        <v>169</v>
      </c>
      <c r="N88" s="401"/>
      <c r="O88" s="426" t="s">
        <v>139</v>
      </c>
      <c r="P88" s="401" t="s">
        <v>1</v>
      </c>
      <c r="Q88" s="401" t="s">
        <v>138</v>
      </c>
      <c r="R88" s="63"/>
      <c r="S88" s="424" t="s">
        <v>0</v>
      </c>
    </row>
    <row r="89" spans="2:19" ht="30" hidden="1" customHeight="1">
      <c r="D89" s="386"/>
      <c r="F89" s="386"/>
      <c r="G89" s="97" t="s">
        <v>143</v>
      </c>
      <c r="H89" s="49" t="s">
        <v>142</v>
      </c>
      <c r="I89" s="49" t="s">
        <v>143</v>
      </c>
      <c r="J89" s="49" t="s">
        <v>142</v>
      </c>
      <c r="K89" s="1" t="s">
        <v>4</v>
      </c>
      <c r="L89" s="1" t="s">
        <v>3</v>
      </c>
      <c r="M89" s="100" t="s">
        <v>141</v>
      </c>
      <c r="N89" s="1" t="s">
        <v>140</v>
      </c>
      <c r="O89" s="427"/>
      <c r="P89" s="422"/>
      <c r="Q89" s="422"/>
      <c r="R89" s="63"/>
      <c r="S89" s="425"/>
    </row>
    <row r="90" spans="2:19" ht="31.5" hidden="1" customHeight="1">
      <c r="D90" s="20">
        <v>7265</v>
      </c>
      <c r="F90" s="20"/>
      <c r="G90" s="100">
        <f>H90*O90</f>
        <v>58410600</v>
      </c>
      <c r="H90" s="1">
        <v>7265</v>
      </c>
      <c r="I90" s="40">
        <f>J90*O90</f>
        <v>3770760</v>
      </c>
      <c r="J90" s="49">
        <f>H90-N90</f>
        <v>469</v>
      </c>
      <c r="K90" s="4"/>
      <c r="L90" s="4"/>
      <c r="M90" s="191">
        <f>N90*O90</f>
        <v>54639840</v>
      </c>
      <c r="N90" s="4">
        <v>6796</v>
      </c>
      <c r="O90" s="22">
        <v>8040</v>
      </c>
      <c r="P90" s="4" t="s">
        <v>48</v>
      </c>
      <c r="Q90" s="6" t="s">
        <v>94</v>
      </c>
      <c r="R90" s="63" t="s">
        <v>158</v>
      </c>
      <c r="S90" s="36" t="s">
        <v>91</v>
      </c>
    </row>
    <row r="91" spans="2:19" ht="31.5" hidden="1" customHeight="1">
      <c r="D91" s="20">
        <v>53957.8</v>
      </c>
      <c r="F91" s="20"/>
      <c r="G91" s="100">
        <f>H91*O91</f>
        <v>349637805.00666648</v>
      </c>
      <c r="H91" s="267">
        <v>54974.497642557624</v>
      </c>
      <c r="I91" s="40">
        <f>J91*O91</f>
        <v>17779365.006666489</v>
      </c>
      <c r="J91" s="49">
        <f>H91-N91</f>
        <v>2795.4976425576242</v>
      </c>
      <c r="K91" s="4"/>
      <c r="L91" s="4"/>
      <c r="M91" s="191">
        <f>N91*O91</f>
        <v>331858440</v>
      </c>
      <c r="N91" s="4">
        <v>52179</v>
      </c>
      <c r="O91" s="22">
        <v>6360</v>
      </c>
      <c r="P91" s="4" t="s">
        <v>48</v>
      </c>
      <c r="Q91" s="6" t="s">
        <v>95</v>
      </c>
      <c r="R91" s="63" t="s">
        <v>158</v>
      </c>
      <c r="S91" s="36" t="s">
        <v>92</v>
      </c>
    </row>
    <row r="92" spans="2:19" ht="31.5" hidden="1" customHeight="1">
      <c r="B92" s="259" t="s">
        <v>263</v>
      </c>
      <c r="D92" s="20">
        <v>27030.59</v>
      </c>
      <c r="F92" s="20"/>
      <c r="G92" s="100">
        <f>H92*O92</f>
        <v>171782280</v>
      </c>
      <c r="H92" s="223">
        <v>28069</v>
      </c>
      <c r="I92" s="40">
        <f>J92*O92</f>
        <v>171782280</v>
      </c>
      <c r="J92" s="49">
        <f>H92-N92</f>
        <v>28069</v>
      </c>
      <c r="K92" s="4"/>
      <c r="L92" s="4"/>
      <c r="M92" s="191">
        <f>N92*O92</f>
        <v>0</v>
      </c>
      <c r="N92" s="4"/>
      <c r="O92" s="22">
        <v>6120</v>
      </c>
      <c r="P92" s="4" t="s">
        <v>48</v>
      </c>
      <c r="Q92" s="4" t="s">
        <v>96</v>
      </c>
      <c r="R92" s="63" t="s">
        <v>158</v>
      </c>
      <c r="S92" s="36" t="s">
        <v>93</v>
      </c>
    </row>
    <row r="93" spans="2:19" ht="31.5" hidden="1" customHeight="1">
      <c r="D93" s="20"/>
      <c r="F93" s="20"/>
      <c r="G93" s="100">
        <f>H93*O93</f>
        <v>0</v>
      </c>
      <c r="H93" s="1"/>
      <c r="I93" s="40">
        <f>J93*O93</f>
        <v>0</v>
      </c>
      <c r="J93" s="49">
        <f>H93-N93</f>
        <v>0</v>
      </c>
      <c r="K93" s="4"/>
      <c r="L93" s="4"/>
      <c r="M93" s="191">
        <f>N93*O93</f>
        <v>0</v>
      </c>
      <c r="N93" s="4"/>
      <c r="O93" s="22">
        <v>325</v>
      </c>
      <c r="P93" s="4" t="s">
        <v>48</v>
      </c>
      <c r="Q93" s="4" t="s">
        <v>118</v>
      </c>
      <c r="R93" s="63" t="s">
        <v>158</v>
      </c>
      <c r="S93" s="36" t="s">
        <v>117</v>
      </c>
    </row>
    <row r="94" spans="2:19" ht="31.5" hidden="1" customHeight="1">
      <c r="D94" s="20"/>
      <c r="F94" s="20"/>
      <c r="G94" s="100">
        <f>H94*O94</f>
        <v>0</v>
      </c>
      <c r="H94" s="1"/>
      <c r="I94" s="40">
        <f>J94*O94</f>
        <v>0</v>
      </c>
      <c r="J94" s="49">
        <f>H94-N94</f>
        <v>0</v>
      </c>
      <c r="K94" s="4"/>
      <c r="L94" s="4"/>
      <c r="M94" s="191">
        <f>N94*O94</f>
        <v>0</v>
      </c>
      <c r="N94" s="4"/>
      <c r="O94" s="22">
        <v>12600</v>
      </c>
      <c r="P94" s="4" t="s">
        <v>48</v>
      </c>
      <c r="Q94" s="45" t="s">
        <v>135</v>
      </c>
      <c r="R94" s="63" t="s">
        <v>158</v>
      </c>
      <c r="S94" s="36" t="s">
        <v>134</v>
      </c>
    </row>
    <row r="95" spans="2:19" ht="31.5" hidden="1" customHeight="1" thickBot="1">
      <c r="D95" s="57"/>
      <c r="F95" s="57"/>
      <c r="G95" s="414">
        <f>SUM(G90:G94)</f>
        <v>579830685.00666642</v>
      </c>
      <c r="H95" s="415"/>
      <c r="I95" s="430">
        <f>SUM(I90:I94)</f>
        <v>193332405.00666648</v>
      </c>
      <c r="J95" s="430"/>
      <c r="K95" s="423">
        <f>SUM(K90:K94)</f>
        <v>0</v>
      </c>
      <c r="L95" s="423"/>
      <c r="M95" s="423">
        <f>SUM(M90:M94)</f>
        <v>386498280</v>
      </c>
      <c r="N95" s="423"/>
      <c r="O95" s="423"/>
      <c r="P95" s="423"/>
      <c r="Q95" s="164" t="s">
        <v>7</v>
      </c>
      <c r="R95" s="165"/>
      <c r="S95" s="213"/>
    </row>
    <row r="96" spans="2:19" ht="27.75" hidden="1" customHeight="1">
      <c r="D96" s="186"/>
      <c r="F96" s="186"/>
      <c r="G96" s="187"/>
      <c r="H96" s="188"/>
      <c r="I96" s="189"/>
      <c r="J96" s="189"/>
      <c r="K96" s="188"/>
      <c r="L96" s="188"/>
      <c r="M96" s="201" t="s">
        <v>183</v>
      </c>
      <c r="N96" s="188"/>
      <c r="O96" s="190"/>
      <c r="P96" s="188"/>
      <c r="Q96" s="188" t="s">
        <v>8</v>
      </c>
      <c r="R96" s="188"/>
      <c r="S96" s="215"/>
    </row>
    <row r="97" spans="2:20" ht="28.5" hidden="1" customHeight="1">
      <c r="D97" s="5">
        <v>650</v>
      </c>
      <c r="F97" s="5"/>
      <c r="G97" s="191">
        <f>H97*O97</f>
        <v>11505000</v>
      </c>
      <c r="H97" s="1">
        <v>650</v>
      </c>
      <c r="I97" s="40">
        <f>J97*O97</f>
        <v>11505000</v>
      </c>
      <c r="J97" s="49">
        <f>H97-N97</f>
        <v>650</v>
      </c>
      <c r="K97" s="6"/>
      <c r="L97" s="4"/>
      <c r="M97" s="191"/>
      <c r="N97" s="4"/>
      <c r="O97" s="22">
        <v>17700</v>
      </c>
      <c r="P97" s="6" t="s">
        <v>48</v>
      </c>
      <c r="Q97" s="45" t="s">
        <v>250</v>
      </c>
      <c r="R97" s="6" t="s">
        <v>158</v>
      </c>
      <c r="S97" s="34" t="s">
        <v>249</v>
      </c>
    </row>
    <row r="98" spans="2:20" ht="28.5" hidden="1" customHeight="1">
      <c r="D98" s="5"/>
      <c r="F98" s="5"/>
      <c r="G98" s="191">
        <f>H98*O98</f>
        <v>0</v>
      </c>
      <c r="H98" s="1"/>
      <c r="I98" s="40">
        <f>J98*O98</f>
        <v>0</v>
      </c>
      <c r="J98" s="49">
        <f>H98-N98</f>
        <v>0</v>
      </c>
      <c r="K98" s="6"/>
      <c r="L98" s="4"/>
      <c r="M98" s="191"/>
      <c r="N98" s="4"/>
      <c r="O98" s="22">
        <v>12500</v>
      </c>
      <c r="P98" s="6" t="s">
        <v>48</v>
      </c>
      <c r="Q98" s="45" t="s">
        <v>119</v>
      </c>
      <c r="R98" s="6" t="s">
        <v>158</v>
      </c>
      <c r="S98" s="207">
        <v>110301</v>
      </c>
      <c r="T98" s="27"/>
    </row>
    <row r="99" spans="2:20" ht="28.5" hidden="1" customHeight="1" thickBot="1">
      <c r="D99" s="185">
        <v>1220</v>
      </c>
      <c r="F99" s="185"/>
      <c r="G99" s="191">
        <f>H99*O99</f>
        <v>54900000</v>
      </c>
      <c r="H99" s="43">
        <v>1220</v>
      </c>
      <c r="I99" s="40">
        <f>J99*O99</f>
        <v>900000</v>
      </c>
      <c r="J99" s="49">
        <f>H99-N99</f>
        <v>20</v>
      </c>
      <c r="K99" s="8"/>
      <c r="L99" s="15"/>
      <c r="M99" s="197">
        <f>N99*O99</f>
        <v>54000000</v>
      </c>
      <c r="N99" s="15">
        <v>1200</v>
      </c>
      <c r="O99" s="23">
        <v>45000</v>
      </c>
      <c r="P99" s="8" t="s">
        <v>48</v>
      </c>
      <c r="Q99" s="198" t="s">
        <v>233</v>
      </c>
      <c r="R99" s="8" t="s">
        <v>159</v>
      </c>
      <c r="S99" s="209">
        <v>110304</v>
      </c>
      <c r="T99" s="27"/>
    </row>
    <row r="100" spans="2:20" ht="28.5" hidden="1" customHeight="1" thickBot="1">
      <c r="D100" s="193"/>
      <c r="F100" s="193"/>
      <c r="G100" s="404">
        <f>SUM(G97:G99)</f>
        <v>66405000</v>
      </c>
      <c r="H100" s="405"/>
      <c r="I100" s="410">
        <f>SUM(I97:I99)</f>
        <v>12405000</v>
      </c>
      <c r="J100" s="410"/>
      <c r="K100" s="431">
        <f>SUM(K97:K99)</f>
        <v>0</v>
      </c>
      <c r="L100" s="431"/>
      <c r="M100" s="431">
        <f>SUM(M97:M99)</f>
        <v>54000000</v>
      </c>
      <c r="N100" s="431"/>
      <c r="O100" s="195"/>
      <c r="P100" s="194"/>
      <c r="Q100" s="194" t="s">
        <v>10</v>
      </c>
      <c r="R100" s="196"/>
      <c r="S100" s="216"/>
    </row>
    <row r="101" spans="2:20" ht="49.5" hidden="1" customHeight="1" thickBot="1">
      <c r="G101" s="101"/>
      <c r="H101" s="17"/>
      <c r="I101" s="52"/>
      <c r="J101" s="52"/>
      <c r="K101" s="17"/>
      <c r="L101" s="17"/>
      <c r="M101" s="101"/>
      <c r="N101" s="17"/>
      <c r="O101" s="24"/>
      <c r="P101" s="17"/>
      <c r="Q101" s="18"/>
      <c r="R101" s="18"/>
      <c r="S101" s="210"/>
    </row>
    <row r="102" spans="2:20" ht="25.5" hidden="1" customHeight="1">
      <c r="D102" s="77"/>
      <c r="F102" s="173"/>
      <c r="G102" s="382" t="s">
        <v>300</v>
      </c>
      <c r="H102" s="382"/>
      <c r="I102" s="382" t="s">
        <v>145</v>
      </c>
      <c r="J102" s="382"/>
      <c r="K102" s="78"/>
      <c r="L102" s="78"/>
      <c r="M102" s="199"/>
      <c r="N102" s="78"/>
      <c r="O102" s="79"/>
      <c r="P102" s="78"/>
      <c r="Q102" s="80" t="s">
        <v>171</v>
      </c>
      <c r="R102" s="41"/>
      <c r="S102" s="219"/>
    </row>
    <row r="103" spans="2:20" ht="25.5" hidden="1" customHeight="1">
      <c r="D103" s="81"/>
      <c r="F103" s="174"/>
      <c r="G103" s="96"/>
      <c r="H103" s="82"/>
      <c r="I103" s="83"/>
      <c r="J103" s="143" t="s">
        <v>146</v>
      </c>
      <c r="K103" s="144"/>
      <c r="L103" s="144"/>
      <c r="M103" s="200"/>
      <c r="N103" s="144"/>
      <c r="O103" s="135"/>
      <c r="P103" s="144"/>
      <c r="Q103" s="84" t="s">
        <v>292</v>
      </c>
      <c r="R103" s="56"/>
      <c r="S103" s="175"/>
    </row>
    <row r="104" spans="2:20" ht="25.5" hidden="1" customHeight="1" thickBot="1">
      <c r="D104" s="85"/>
      <c r="F104" s="85"/>
      <c r="G104" s="145"/>
      <c r="H104" s="136"/>
      <c r="I104" s="146"/>
      <c r="J104" s="146"/>
      <c r="K104" s="136"/>
      <c r="L104" s="136"/>
      <c r="M104" s="202" t="s">
        <v>183</v>
      </c>
      <c r="N104" s="136"/>
      <c r="O104" s="136"/>
      <c r="P104" s="136"/>
      <c r="Q104" s="86" t="s">
        <v>206</v>
      </c>
      <c r="R104" s="42"/>
      <c r="S104" s="205"/>
    </row>
    <row r="105" spans="2:20" ht="30" hidden="1" customHeight="1">
      <c r="D105" s="385" t="s">
        <v>144</v>
      </c>
      <c r="F105" s="385" t="s">
        <v>144</v>
      </c>
      <c r="G105" s="406" t="s">
        <v>63</v>
      </c>
      <c r="H105" s="406"/>
      <c r="I105" s="409" t="s">
        <v>170</v>
      </c>
      <c r="J105" s="409"/>
      <c r="K105" s="401" t="s">
        <v>2</v>
      </c>
      <c r="L105" s="401"/>
      <c r="M105" s="401" t="s">
        <v>169</v>
      </c>
      <c r="N105" s="401"/>
      <c r="O105" s="426" t="s">
        <v>139</v>
      </c>
      <c r="P105" s="401" t="s">
        <v>1</v>
      </c>
      <c r="Q105" s="401" t="s">
        <v>138</v>
      </c>
      <c r="R105" s="62"/>
      <c r="S105" s="424" t="s">
        <v>0</v>
      </c>
    </row>
    <row r="106" spans="2:20" ht="30" hidden="1" customHeight="1">
      <c r="D106" s="386"/>
      <c r="F106" s="386"/>
      <c r="G106" s="97" t="s">
        <v>143</v>
      </c>
      <c r="H106" s="49" t="s">
        <v>142</v>
      </c>
      <c r="I106" s="49" t="s">
        <v>143</v>
      </c>
      <c r="J106" s="49" t="s">
        <v>142</v>
      </c>
      <c r="K106" s="1" t="s">
        <v>4</v>
      </c>
      <c r="L106" s="1" t="s">
        <v>3</v>
      </c>
      <c r="M106" s="100" t="s">
        <v>141</v>
      </c>
      <c r="N106" s="1" t="s">
        <v>140</v>
      </c>
      <c r="O106" s="427"/>
      <c r="P106" s="422"/>
      <c r="Q106" s="422"/>
      <c r="R106" s="2"/>
      <c r="S106" s="425"/>
    </row>
    <row r="107" spans="2:20" ht="30" hidden="1" customHeight="1">
      <c r="D107" s="55"/>
      <c r="F107" s="55"/>
      <c r="G107" s="100">
        <f>H107*O107</f>
        <v>0</v>
      </c>
      <c r="H107" s="49"/>
      <c r="I107" s="40">
        <f>J107*O107</f>
        <v>0</v>
      </c>
      <c r="J107" s="49">
        <f>H107-N107</f>
        <v>0</v>
      </c>
      <c r="K107" s="1"/>
      <c r="L107" s="1"/>
      <c r="M107" s="191">
        <f>N107*O107</f>
        <v>0</v>
      </c>
      <c r="N107" s="1"/>
      <c r="O107" s="22">
        <v>220000</v>
      </c>
      <c r="P107" s="6" t="s">
        <v>35</v>
      </c>
      <c r="Q107" s="45" t="s">
        <v>219</v>
      </c>
      <c r="R107" s="2"/>
      <c r="S107" s="34" t="s">
        <v>218</v>
      </c>
    </row>
    <row r="108" spans="2:20" ht="39" hidden="1" customHeight="1">
      <c r="D108" s="20"/>
      <c r="F108" s="20"/>
      <c r="G108" s="100">
        <f t="shared" ref="G108:G123" si="16">H108*O108</f>
        <v>0</v>
      </c>
      <c r="H108" s="1"/>
      <c r="I108" s="40">
        <f t="shared" ref="I108:I123" si="17">J108*O108</f>
        <v>0</v>
      </c>
      <c r="J108" s="49">
        <f t="shared" ref="J108:J123" si="18">H108-N108</f>
        <v>0</v>
      </c>
      <c r="K108" s="6"/>
      <c r="L108" s="6"/>
      <c r="M108" s="191">
        <f t="shared" ref="M108:M123" si="19">N108*O108</f>
        <v>0</v>
      </c>
      <c r="N108" s="6"/>
      <c r="O108" s="22">
        <v>249500</v>
      </c>
      <c r="P108" s="6" t="s">
        <v>35</v>
      </c>
      <c r="Q108" s="45" t="s">
        <v>182</v>
      </c>
      <c r="R108" s="66" t="s">
        <v>158</v>
      </c>
      <c r="S108" s="34">
        <v>120103</v>
      </c>
    </row>
    <row r="109" spans="2:20" ht="39" hidden="1" customHeight="1">
      <c r="B109" s="259">
        <v>893</v>
      </c>
      <c r="C109" s="3">
        <v>2150</v>
      </c>
      <c r="D109" s="20">
        <v>416.5</v>
      </c>
      <c r="F109" s="20"/>
      <c r="G109" s="100">
        <f t="shared" si="16"/>
        <v>970249500</v>
      </c>
      <c r="H109" s="1">
        <f>416+2150+893</f>
        <v>3459</v>
      </c>
      <c r="I109" s="40">
        <f t="shared" si="17"/>
        <v>754264500</v>
      </c>
      <c r="J109" s="49">
        <f t="shared" si="18"/>
        <v>2689</v>
      </c>
      <c r="K109" s="6"/>
      <c r="L109" s="6"/>
      <c r="M109" s="191">
        <f t="shared" si="19"/>
        <v>215985000</v>
      </c>
      <c r="N109" s="6">
        <v>770</v>
      </c>
      <c r="O109" s="22">
        <v>280500</v>
      </c>
      <c r="P109" s="6" t="s">
        <v>35</v>
      </c>
      <c r="Q109" s="46" t="s">
        <v>120</v>
      </c>
      <c r="R109" s="66" t="s">
        <v>158</v>
      </c>
      <c r="S109" s="34">
        <v>120104</v>
      </c>
    </row>
    <row r="110" spans="2:20" ht="39" hidden="1" customHeight="1">
      <c r="D110" s="20">
        <v>92.36</v>
      </c>
      <c r="F110" s="20"/>
      <c r="G110" s="100">
        <f t="shared" si="16"/>
        <v>31096000</v>
      </c>
      <c r="H110" s="1">
        <v>92</v>
      </c>
      <c r="I110" s="40">
        <f t="shared" si="17"/>
        <v>0</v>
      </c>
      <c r="J110" s="49">
        <f t="shared" si="18"/>
        <v>0</v>
      </c>
      <c r="K110" s="6"/>
      <c r="L110" s="6"/>
      <c r="M110" s="191">
        <f t="shared" si="19"/>
        <v>31096000</v>
      </c>
      <c r="N110" s="4">
        <v>92</v>
      </c>
      <c r="O110" s="22">
        <v>338000</v>
      </c>
      <c r="P110" s="6" t="s">
        <v>35</v>
      </c>
      <c r="Q110" s="46" t="s">
        <v>51</v>
      </c>
      <c r="R110" s="66" t="s">
        <v>158</v>
      </c>
      <c r="S110" s="207" t="s">
        <v>49</v>
      </c>
    </row>
    <row r="111" spans="2:20" ht="39" hidden="1" customHeight="1">
      <c r="D111" s="20">
        <v>708.39</v>
      </c>
      <c r="F111" s="20"/>
      <c r="G111" s="100">
        <f t="shared" si="16"/>
        <v>258774000</v>
      </c>
      <c r="H111" s="1">
        <v>708</v>
      </c>
      <c r="I111" s="40">
        <f t="shared" si="17"/>
        <v>-17909500</v>
      </c>
      <c r="J111" s="49">
        <f t="shared" si="18"/>
        <v>-49</v>
      </c>
      <c r="K111" s="6"/>
      <c r="L111" s="6"/>
      <c r="M111" s="191">
        <f t="shared" si="19"/>
        <v>276683500</v>
      </c>
      <c r="N111" s="4">
        <v>757</v>
      </c>
      <c r="O111" s="22">
        <v>365500</v>
      </c>
      <c r="P111" s="6" t="s">
        <v>35</v>
      </c>
      <c r="Q111" s="46" t="s">
        <v>160</v>
      </c>
      <c r="R111" s="66" t="s">
        <v>158</v>
      </c>
      <c r="S111" s="207">
        <v>120107</v>
      </c>
    </row>
    <row r="112" spans="2:20" ht="39" hidden="1" customHeight="1">
      <c r="D112" s="20"/>
      <c r="F112" s="20"/>
      <c r="G112" s="100">
        <f t="shared" si="16"/>
        <v>0</v>
      </c>
      <c r="H112" s="1"/>
      <c r="I112" s="40">
        <f t="shared" si="17"/>
        <v>0</v>
      </c>
      <c r="J112" s="49">
        <f t="shared" si="18"/>
        <v>0</v>
      </c>
      <c r="K112" s="6"/>
      <c r="L112" s="6"/>
      <c r="M112" s="191">
        <f t="shared" si="19"/>
        <v>0</v>
      </c>
      <c r="N112" s="4"/>
      <c r="O112" s="22">
        <v>25400</v>
      </c>
      <c r="P112" s="6" t="s">
        <v>35</v>
      </c>
      <c r="Q112" s="46" t="s">
        <v>161</v>
      </c>
      <c r="R112" s="66" t="s">
        <v>158</v>
      </c>
      <c r="S112" s="207">
        <v>120110</v>
      </c>
    </row>
    <row r="113" spans="2:19" ht="39" hidden="1" customHeight="1">
      <c r="C113" s="3">
        <v>1800</v>
      </c>
      <c r="D113" s="20">
        <v>118.37</v>
      </c>
      <c r="F113" s="20"/>
      <c r="G113" s="100">
        <f t="shared" si="16"/>
        <v>37796000</v>
      </c>
      <c r="H113" s="1">
        <f>118+1600</f>
        <v>1718</v>
      </c>
      <c r="I113" s="40">
        <f t="shared" si="17"/>
        <v>18832000</v>
      </c>
      <c r="J113" s="49">
        <f t="shared" si="18"/>
        <v>856</v>
      </c>
      <c r="K113" s="6"/>
      <c r="L113" s="6"/>
      <c r="M113" s="191">
        <f t="shared" si="19"/>
        <v>18964000</v>
      </c>
      <c r="N113" s="4">
        <v>862</v>
      </c>
      <c r="O113" s="22">
        <v>22000</v>
      </c>
      <c r="P113" s="6" t="s">
        <v>35</v>
      </c>
      <c r="Q113" s="46" t="s">
        <v>121</v>
      </c>
      <c r="R113" s="66" t="s">
        <v>158</v>
      </c>
      <c r="S113" s="207">
        <v>120302</v>
      </c>
    </row>
    <row r="114" spans="2:19" ht="39" hidden="1" customHeight="1">
      <c r="C114" s="3">
        <f>2300-1800</f>
        <v>500</v>
      </c>
      <c r="D114" s="20">
        <v>709.89</v>
      </c>
      <c r="F114" s="20"/>
      <c r="G114" s="100">
        <f t="shared" si="16"/>
        <v>45469000</v>
      </c>
      <c r="H114" s="1">
        <f>709+400</f>
        <v>1109</v>
      </c>
      <c r="I114" s="40">
        <f t="shared" si="17"/>
        <v>14432000</v>
      </c>
      <c r="J114" s="49">
        <f t="shared" si="18"/>
        <v>352</v>
      </c>
      <c r="K114" s="6"/>
      <c r="L114" s="6"/>
      <c r="M114" s="191">
        <f t="shared" si="19"/>
        <v>31037000</v>
      </c>
      <c r="N114" s="4">
        <v>757</v>
      </c>
      <c r="O114" s="22">
        <v>41000</v>
      </c>
      <c r="P114" s="6" t="s">
        <v>35</v>
      </c>
      <c r="Q114" s="46" t="s">
        <v>122</v>
      </c>
      <c r="R114" s="66" t="s">
        <v>158</v>
      </c>
      <c r="S114" s="207">
        <v>120303</v>
      </c>
    </row>
    <row r="115" spans="2:19" ht="39" hidden="1" customHeight="1">
      <c r="D115" s="20"/>
      <c r="F115" s="20"/>
      <c r="G115" s="100">
        <f t="shared" si="16"/>
        <v>0</v>
      </c>
      <c r="H115" s="1"/>
      <c r="I115" s="40">
        <f t="shared" si="17"/>
        <v>0</v>
      </c>
      <c r="J115" s="49">
        <f t="shared" si="18"/>
        <v>0</v>
      </c>
      <c r="K115" s="6"/>
      <c r="L115" s="6"/>
      <c r="M115" s="191">
        <f t="shared" si="19"/>
        <v>0</v>
      </c>
      <c r="N115" s="4"/>
      <c r="O115" s="108">
        <v>29300</v>
      </c>
      <c r="P115" s="6" t="s">
        <v>35</v>
      </c>
      <c r="Q115" s="46" t="s">
        <v>123</v>
      </c>
      <c r="R115" s="66" t="s">
        <v>158</v>
      </c>
      <c r="S115" s="207">
        <v>120305</v>
      </c>
    </row>
    <row r="116" spans="2:19" ht="39" hidden="1" customHeight="1">
      <c r="D116" s="20"/>
      <c r="F116" s="20"/>
      <c r="G116" s="100">
        <f t="shared" si="16"/>
        <v>0</v>
      </c>
      <c r="H116" s="1"/>
      <c r="I116" s="40">
        <f t="shared" si="17"/>
        <v>0</v>
      </c>
      <c r="J116" s="49">
        <f t="shared" si="18"/>
        <v>0</v>
      </c>
      <c r="K116" s="6"/>
      <c r="L116" s="6"/>
      <c r="M116" s="191">
        <f t="shared" si="19"/>
        <v>0</v>
      </c>
      <c r="N116" s="4"/>
      <c r="O116" s="22">
        <v>26400</v>
      </c>
      <c r="P116" s="6" t="s">
        <v>35</v>
      </c>
      <c r="Q116" s="46" t="s">
        <v>124</v>
      </c>
      <c r="R116" s="66" t="s">
        <v>158</v>
      </c>
      <c r="S116" s="207">
        <v>120307</v>
      </c>
    </row>
    <row r="117" spans="2:19" ht="39" hidden="1" customHeight="1">
      <c r="D117" s="20">
        <v>800.75</v>
      </c>
      <c r="F117" s="20"/>
      <c r="G117" s="100">
        <f t="shared" si="16"/>
        <v>4416000</v>
      </c>
      <c r="H117" s="203">
        <v>800</v>
      </c>
      <c r="I117" s="40">
        <f t="shared" si="17"/>
        <v>-270480</v>
      </c>
      <c r="J117" s="49">
        <f t="shared" si="18"/>
        <v>-49</v>
      </c>
      <c r="K117" s="6"/>
      <c r="L117" s="6"/>
      <c r="M117" s="191">
        <f t="shared" si="19"/>
        <v>4686480</v>
      </c>
      <c r="N117" s="4">
        <v>849</v>
      </c>
      <c r="O117" s="22">
        <v>5520</v>
      </c>
      <c r="P117" s="6" t="s">
        <v>35</v>
      </c>
      <c r="Q117" s="46" t="s">
        <v>52</v>
      </c>
      <c r="R117" s="66" t="s">
        <v>158</v>
      </c>
      <c r="S117" s="207" t="s">
        <v>50</v>
      </c>
    </row>
    <row r="118" spans="2:19" ht="39" hidden="1" customHeight="1">
      <c r="B118" s="259" t="s">
        <v>270</v>
      </c>
      <c r="C118" s="3" t="s">
        <v>296</v>
      </c>
      <c r="D118" s="110"/>
      <c r="F118" s="110"/>
      <c r="G118" s="100">
        <f t="shared" si="16"/>
        <v>12172000</v>
      </c>
      <c r="H118" s="1">
        <f>2150*250+223250</f>
        <v>760750</v>
      </c>
      <c r="I118" s="40">
        <f t="shared" si="17"/>
        <v>12172000</v>
      </c>
      <c r="J118" s="49">
        <f t="shared" si="18"/>
        <v>760750</v>
      </c>
      <c r="K118" s="6"/>
      <c r="L118" s="6"/>
      <c r="M118" s="191">
        <f t="shared" si="19"/>
        <v>0</v>
      </c>
      <c r="N118" s="4"/>
      <c r="O118" s="22">
        <v>16</v>
      </c>
      <c r="P118" s="6" t="s">
        <v>48</v>
      </c>
      <c r="Q118" s="46" t="s">
        <v>162</v>
      </c>
      <c r="R118" s="66" t="s">
        <v>158</v>
      </c>
      <c r="S118" s="207">
        <v>120701</v>
      </c>
    </row>
    <row r="119" spans="2:19" ht="39" hidden="1" customHeight="1">
      <c r="D119" s="110">
        <v>413319.5</v>
      </c>
      <c r="F119" s="110"/>
      <c r="G119" s="100">
        <f t="shared" si="16"/>
        <v>13226208</v>
      </c>
      <c r="H119" s="1">
        <v>413319</v>
      </c>
      <c r="I119" s="40">
        <f t="shared" si="17"/>
        <v>-3653792</v>
      </c>
      <c r="J119" s="49">
        <f t="shared" si="18"/>
        <v>-114181</v>
      </c>
      <c r="K119" s="6"/>
      <c r="L119" s="6"/>
      <c r="M119" s="191">
        <f t="shared" si="19"/>
        <v>16880000</v>
      </c>
      <c r="N119" s="4">
        <v>527500</v>
      </c>
      <c r="O119" s="22">
        <v>32</v>
      </c>
      <c r="P119" s="6" t="s">
        <v>48</v>
      </c>
      <c r="Q119" s="45" t="s">
        <v>235</v>
      </c>
      <c r="R119" s="66" t="s">
        <v>158</v>
      </c>
      <c r="S119" s="34" t="s">
        <v>234</v>
      </c>
    </row>
    <row r="120" spans="2:19" ht="39" hidden="1" customHeight="1">
      <c r="D120" s="110">
        <v>11000</v>
      </c>
      <c r="F120" s="110"/>
      <c r="G120" s="100">
        <f t="shared" si="16"/>
        <v>6545000</v>
      </c>
      <c r="H120" s="1">
        <v>11000</v>
      </c>
      <c r="I120" s="40">
        <f t="shared" si="17"/>
        <v>6545000</v>
      </c>
      <c r="J120" s="49">
        <f t="shared" si="18"/>
        <v>11000</v>
      </c>
      <c r="K120" s="6"/>
      <c r="L120" s="6"/>
      <c r="M120" s="191">
        <f t="shared" si="19"/>
        <v>0</v>
      </c>
      <c r="N120" s="4"/>
      <c r="O120" s="169">
        <v>595</v>
      </c>
      <c r="P120" s="166" t="s">
        <v>204</v>
      </c>
      <c r="Q120" s="167" t="s">
        <v>205</v>
      </c>
      <c r="R120" s="66" t="s">
        <v>158</v>
      </c>
      <c r="S120" s="207">
        <v>120703</v>
      </c>
    </row>
    <row r="121" spans="2:19" ht="39" hidden="1" customHeight="1">
      <c r="B121" s="259" t="s">
        <v>271</v>
      </c>
      <c r="C121" s="3" t="s">
        <v>297</v>
      </c>
      <c r="D121" s="57">
        <v>17156.169999999998</v>
      </c>
      <c r="F121" s="57"/>
      <c r="G121" s="100">
        <f t="shared" si="16"/>
        <v>100991020</v>
      </c>
      <c r="H121" s="58">
        <f>17156+2150*14+893*14</f>
        <v>59758</v>
      </c>
      <c r="I121" s="40">
        <f t="shared" si="17"/>
        <v>62413390</v>
      </c>
      <c r="J121" s="49">
        <f t="shared" si="18"/>
        <v>36931</v>
      </c>
      <c r="K121" s="7"/>
      <c r="L121" s="59"/>
      <c r="M121" s="191">
        <f t="shared" si="19"/>
        <v>38577630</v>
      </c>
      <c r="N121" s="168">
        <v>22827</v>
      </c>
      <c r="O121" s="60">
        <v>1690</v>
      </c>
      <c r="P121" s="4" t="s">
        <v>44</v>
      </c>
      <c r="Q121" s="74" t="s">
        <v>163</v>
      </c>
      <c r="R121" s="66" t="s">
        <v>158</v>
      </c>
      <c r="S121" s="213">
        <v>120801</v>
      </c>
    </row>
    <row r="122" spans="2:19" ht="39" hidden="1" customHeight="1">
      <c r="B122" s="259" t="s">
        <v>272</v>
      </c>
      <c r="C122" s="3" t="s">
        <v>298</v>
      </c>
      <c r="D122" s="57">
        <v>19358.900000000001</v>
      </c>
      <c r="F122" s="57"/>
      <c r="G122" s="100">
        <f t="shared" si="16"/>
        <v>53861780</v>
      </c>
      <c r="H122" s="58">
        <f>19358+2150*1.3*9+10448</f>
        <v>54961</v>
      </c>
      <c r="I122" s="40">
        <f t="shared" si="17"/>
        <v>32781980</v>
      </c>
      <c r="J122" s="49">
        <f t="shared" si="18"/>
        <v>33451</v>
      </c>
      <c r="K122" s="7"/>
      <c r="L122" s="59"/>
      <c r="M122" s="191">
        <f t="shared" si="19"/>
        <v>21079800</v>
      </c>
      <c r="N122" s="73">
        <v>21510</v>
      </c>
      <c r="O122" s="60">
        <v>980</v>
      </c>
      <c r="P122" s="4" t="s">
        <v>44</v>
      </c>
      <c r="Q122" s="74" t="s">
        <v>164</v>
      </c>
      <c r="R122" s="66" t="s">
        <v>158</v>
      </c>
      <c r="S122" s="213">
        <v>121001</v>
      </c>
    </row>
    <row r="123" spans="2:19" ht="39" hidden="1" customHeight="1">
      <c r="B123" s="259" t="s">
        <v>273</v>
      </c>
      <c r="C123" s="266" t="s">
        <v>299</v>
      </c>
      <c r="D123" s="57">
        <v>64529.75</v>
      </c>
      <c r="F123" s="57"/>
      <c r="G123" s="100">
        <f t="shared" si="16"/>
        <v>155725100</v>
      </c>
      <c r="H123" s="58">
        <f>34827+2150*1.3*30+64529</f>
        <v>183206</v>
      </c>
      <c r="I123" s="40">
        <f t="shared" si="17"/>
        <v>94780100</v>
      </c>
      <c r="J123" s="49">
        <f t="shared" si="18"/>
        <v>111506</v>
      </c>
      <c r="K123" s="7"/>
      <c r="L123" s="59"/>
      <c r="M123" s="191">
        <f t="shared" si="19"/>
        <v>60945000</v>
      </c>
      <c r="N123" s="73">
        <v>71700</v>
      </c>
      <c r="O123" s="60">
        <v>850</v>
      </c>
      <c r="P123" s="4" t="s">
        <v>44</v>
      </c>
      <c r="Q123" s="74" t="s">
        <v>165</v>
      </c>
      <c r="R123" s="66" t="s">
        <v>158</v>
      </c>
      <c r="S123" s="213">
        <v>121002</v>
      </c>
    </row>
    <row r="124" spans="2:19" ht="39" hidden="1" customHeight="1" thickBot="1">
      <c r="D124" s="21"/>
      <c r="F124" s="21"/>
      <c r="G124" s="397">
        <f>SUM(G107:G123)</f>
        <v>1690321608</v>
      </c>
      <c r="H124" s="398"/>
      <c r="I124" s="402">
        <f>SUM(I107:I123)</f>
        <v>974387198</v>
      </c>
      <c r="J124" s="402"/>
      <c r="K124" s="400">
        <f>SUM(K108:K120)</f>
        <v>0</v>
      </c>
      <c r="L124" s="400"/>
      <c r="M124" s="400">
        <f>SUM(M107:M123)</f>
        <v>715934410</v>
      </c>
      <c r="N124" s="400"/>
      <c r="O124" s="39"/>
      <c r="P124" s="115"/>
      <c r="Q124" s="115" t="s">
        <v>11</v>
      </c>
      <c r="R124" s="67"/>
      <c r="S124" s="209"/>
    </row>
    <row r="125" spans="2:19" ht="49.5" hidden="1" customHeight="1" thickBot="1">
      <c r="D125" s="13"/>
      <c r="F125" s="13"/>
      <c r="G125" s="99"/>
      <c r="H125" s="37"/>
      <c r="I125" s="50"/>
      <c r="J125" s="50"/>
      <c r="K125" s="44"/>
      <c r="L125" s="44"/>
      <c r="M125" s="99"/>
      <c r="N125" s="37"/>
      <c r="O125" s="24"/>
      <c r="P125" s="17"/>
      <c r="Q125" s="17"/>
      <c r="R125" s="17"/>
      <c r="S125" s="210"/>
    </row>
    <row r="126" spans="2:19" ht="25.5" hidden="1" customHeight="1">
      <c r="D126" s="77"/>
      <c r="F126" s="173"/>
      <c r="G126" s="382" t="s">
        <v>300</v>
      </c>
      <c r="H126" s="382"/>
      <c r="I126" s="382" t="s">
        <v>145</v>
      </c>
      <c r="J126" s="382"/>
      <c r="K126" s="78"/>
      <c r="L126" s="78"/>
      <c r="M126" s="199"/>
      <c r="N126" s="78"/>
      <c r="O126" s="79"/>
      <c r="P126" s="78"/>
      <c r="Q126" s="80" t="s">
        <v>171</v>
      </c>
      <c r="R126" s="41"/>
      <c r="S126" s="219"/>
    </row>
    <row r="127" spans="2:19" ht="25.5" hidden="1" customHeight="1">
      <c r="D127" s="81"/>
      <c r="F127" s="174"/>
      <c r="G127" s="96"/>
      <c r="H127" s="82"/>
      <c r="I127" s="83"/>
      <c r="J127" s="143" t="s">
        <v>146</v>
      </c>
      <c r="K127" s="144"/>
      <c r="L127" s="144"/>
      <c r="M127" s="200"/>
      <c r="N127" s="144"/>
      <c r="O127" s="135"/>
      <c r="P127" s="144"/>
      <c r="Q127" s="84" t="s">
        <v>292</v>
      </c>
      <c r="R127" s="56"/>
      <c r="S127" s="175"/>
    </row>
    <row r="128" spans="2:19" ht="25.5" hidden="1" customHeight="1" thickBot="1">
      <c r="D128" s="85"/>
      <c r="F128" s="85"/>
      <c r="G128" s="145"/>
      <c r="H128" s="136"/>
      <c r="I128" s="146"/>
      <c r="J128" s="146"/>
      <c r="K128" s="136"/>
      <c r="L128" s="136"/>
      <c r="M128" s="202" t="s">
        <v>183</v>
      </c>
      <c r="N128" s="136"/>
      <c r="O128" s="136"/>
      <c r="P128" s="136"/>
      <c r="Q128" s="86" t="s">
        <v>207</v>
      </c>
      <c r="R128" s="42"/>
      <c r="S128" s="205"/>
    </row>
    <row r="129" spans="2:19" ht="30" hidden="1" customHeight="1">
      <c r="D129" s="385" t="s">
        <v>144</v>
      </c>
      <c r="F129" s="385" t="s">
        <v>144</v>
      </c>
      <c r="G129" s="406" t="s">
        <v>63</v>
      </c>
      <c r="H129" s="406"/>
      <c r="I129" s="409" t="s">
        <v>170</v>
      </c>
      <c r="J129" s="409"/>
      <c r="K129" s="401" t="s">
        <v>2</v>
      </c>
      <c r="L129" s="401"/>
      <c r="M129" s="401" t="s">
        <v>169</v>
      </c>
      <c r="N129" s="401"/>
      <c r="O129" s="426" t="s">
        <v>139</v>
      </c>
      <c r="P129" s="401" t="s">
        <v>1</v>
      </c>
      <c r="Q129" s="401" t="s">
        <v>138</v>
      </c>
      <c r="R129" s="62"/>
      <c r="S129" s="424" t="s">
        <v>0</v>
      </c>
    </row>
    <row r="130" spans="2:19" ht="30" hidden="1" customHeight="1">
      <c r="D130" s="386"/>
      <c r="F130" s="386"/>
      <c r="G130" s="97" t="s">
        <v>143</v>
      </c>
      <c r="H130" s="49" t="s">
        <v>142</v>
      </c>
      <c r="I130" s="49" t="s">
        <v>143</v>
      </c>
      <c r="J130" s="49" t="s">
        <v>142</v>
      </c>
      <c r="K130" s="1" t="s">
        <v>4</v>
      </c>
      <c r="L130" s="1" t="s">
        <v>3</v>
      </c>
      <c r="M130" s="100" t="s">
        <v>141</v>
      </c>
      <c r="N130" s="1" t="s">
        <v>140</v>
      </c>
      <c r="O130" s="427"/>
      <c r="P130" s="422"/>
      <c r="Q130" s="422"/>
      <c r="R130" s="2"/>
      <c r="S130" s="425"/>
    </row>
    <row r="131" spans="2:19" ht="35.25" hidden="1" customHeight="1">
      <c r="D131" s="5"/>
      <c r="F131" s="5"/>
      <c r="G131" s="100"/>
      <c r="H131" s="1"/>
      <c r="I131" s="40">
        <f>J131*O131</f>
        <v>-103292000</v>
      </c>
      <c r="J131" s="49">
        <f>H131-N131</f>
        <v>-136</v>
      </c>
      <c r="K131" s="6"/>
      <c r="L131" s="6"/>
      <c r="M131" s="191">
        <f>N131*O131</f>
        <v>103292000</v>
      </c>
      <c r="N131" s="4">
        <v>136</v>
      </c>
      <c r="O131" s="22">
        <v>759500</v>
      </c>
      <c r="P131" s="6" t="s">
        <v>35</v>
      </c>
      <c r="Q131" s="46" t="s">
        <v>110</v>
      </c>
      <c r="R131" s="46" t="s">
        <v>158</v>
      </c>
      <c r="S131" s="207">
        <v>130804</v>
      </c>
    </row>
    <row r="132" spans="2:19" ht="35.25" hidden="1" customHeight="1">
      <c r="D132" s="5"/>
      <c r="F132" s="5"/>
      <c r="G132" s="100"/>
      <c r="H132" s="1"/>
      <c r="I132" s="40">
        <f>J132*O132</f>
        <v>-217550000</v>
      </c>
      <c r="J132" s="49">
        <f>H132-N132</f>
        <v>-380</v>
      </c>
      <c r="K132" s="6"/>
      <c r="L132" s="6"/>
      <c r="M132" s="191">
        <f>N132*O132</f>
        <v>217550000</v>
      </c>
      <c r="N132" s="4">
        <v>380</v>
      </c>
      <c r="O132" s="22">
        <v>572500</v>
      </c>
      <c r="P132" s="6" t="s">
        <v>35</v>
      </c>
      <c r="Q132" s="45" t="s">
        <v>237</v>
      </c>
      <c r="R132" s="46" t="s">
        <v>158</v>
      </c>
      <c r="S132" s="34" t="s">
        <v>236</v>
      </c>
    </row>
    <row r="133" spans="2:19" ht="35.25" hidden="1" customHeight="1">
      <c r="D133" s="5"/>
      <c r="F133" s="5"/>
      <c r="G133" s="100">
        <f>H133*O133</f>
        <v>7986000</v>
      </c>
      <c r="H133" s="1">
        <v>44</v>
      </c>
      <c r="I133" s="40">
        <f>J133*O133</f>
        <v>7986000</v>
      </c>
      <c r="J133" s="49">
        <f>H133-N133</f>
        <v>44</v>
      </c>
      <c r="K133" s="6"/>
      <c r="L133" s="6"/>
      <c r="M133" s="191">
        <f>N133*O133</f>
        <v>0</v>
      </c>
      <c r="N133" s="4"/>
      <c r="O133" s="22">
        <v>181500</v>
      </c>
      <c r="P133" s="6" t="s">
        <v>155</v>
      </c>
      <c r="Q133" s="46" t="s">
        <v>208</v>
      </c>
      <c r="R133" s="46" t="s">
        <v>158</v>
      </c>
      <c r="S133" s="207">
        <v>131109</v>
      </c>
    </row>
    <row r="134" spans="2:19" ht="27" hidden="1" customHeight="1" thickBot="1">
      <c r="D134" s="21"/>
      <c r="F134" s="21"/>
      <c r="G134" s="397">
        <f>SUM(G131:G133)</f>
        <v>7986000</v>
      </c>
      <c r="H134" s="398"/>
      <c r="I134" s="402">
        <f>SUM(I131:I133)</f>
        <v>-312856000</v>
      </c>
      <c r="J134" s="402"/>
      <c r="K134" s="400">
        <f>SUM(K131:K131)</f>
        <v>0</v>
      </c>
      <c r="L134" s="400"/>
      <c r="M134" s="400">
        <f>SUM(M131:M133)</f>
        <v>320842000</v>
      </c>
      <c r="N134" s="400"/>
      <c r="O134" s="39"/>
      <c r="P134" s="115"/>
      <c r="Q134" s="115" t="s">
        <v>111</v>
      </c>
      <c r="R134" s="15"/>
      <c r="S134" s="209"/>
    </row>
    <row r="135" spans="2:19" ht="25.5" hidden="1" customHeight="1" thickBot="1">
      <c r="D135" s="85"/>
      <c r="F135" s="85"/>
      <c r="G135" s="145"/>
      <c r="H135" s="136"/>
      <c r="I135" s="146"/>
      <c r="J135" s="146"/>
      <c r="K135" s="136"/>
      <c r="L135" s="136"/>
      <c r="M135" s="202" t="s">
        <v>183</v>
      </c>
      <c r="N135" s="136"/>
      <c r="O135" s="136"/>
      <c r="P135" s="136"/>
      <c r="Q135" s="86" t="s">
        <v>209</v>
      </c>
      <c r="R135" s="42"/>
      <c r="S135" s="205"/>
    </row>
    <row r="136" spans="2:19" ht="43.5" hidden="1" customHeight="1">
      <c r="D136" s="20">
        <v>7280</v>
      </c>
      <c r="F136" s="20"/>
      <c r="G136" s="100">
        <f t="shared" ref="G136:G146" si="20">H136*O136</f>
        <v>531440000</v>
      </c>
      <c r="H136" s="1">
        <v>7280</v>
      </c>
      <c r="I136" s="40">
        <f>J136*O136</f>
        <v>-577941000</v>
      </c>
      <c r="J136" s="49">
        <f>H136-N136</f>
        <v>-7917</v>
      </c>
      <c r="K136" s="6"/>
      <c r="L136" s="6"/>
      <c r="M136" s="113">
        <f t="shared" ref="M136:M146" si="21">N136*O136</f>
        <v>1109381000</v>
      </c>
      <c r="N136" s="4">
        <v>15197</v>
      </c>
      <c r="O136" s="22">
        <v>73000</v>
      </c>
      <c r="P136" s="6" t="s">
        <v>35</v>
      </c>
      <c r="Q136" s="45" t="s">
        <v>239</v>
      </c>
      <c r="R136" s="65" t="s">
        <v>158</v>
      </c>
      <c r="S136" s="34" t="s">
        <v>238</v>
      </c>
    </row>
    <row r="137" spans="2:19" ht="43.5" hidden="1" customHeight="1">
      <c r="D137" s="20"/>
      <c r="F137" s="20"/>
      <c r="G137" s="100">
        <f t="shared" si="20"/>
        <v>0</v>
      </c>
      <c r="H137" s="1"/>
      <c r="I137" s="40">
        <f t="shared" ref="I137:I146" si="22">J137*O137</f>
        <v>0</v>
      </c>
      <c r="J137" s="49">
        <f t="shared" ref="J137:J146" si="23">H137-N137</f>
        <v>0</v>
      </c>
      <c r="K137" s="6"/>
      <c r="L137" s="6"/>
      <c r="M137" s="100">
        <f t="shared" si="21"/>
        <v>0</v>
      </c>
      <c r="N137" s="4"/>
      <c r="O137" s="22">
        <v>6170</v>
      </c>
      <c r="P137" s="6" t="s">
        <v>35</v>
      </c>
      <c r="Q137" s="45" t="s">
        <v>166</v>
      </c>
      <c r="R137" s="65" t="s">
        <v>158</v>
      </c>
      <c r="S137" s="207">
        <v>140701</v>
      </c>
    </row>
    <row r="138" spans="2:19" ht="43.5" hidden="1" customHeight="1">
      <c r="D138" s="20"/>
      <c r="F138" s="20"/>
      <c r="G138" s="100">
        <f t="shared" si="20"/>
        <v>1064000</v>
      </c>
      <c r="H138" s="1">
        <v>140</v>
      </c>
      <c r="I138" s="40">
        <f t="shared" si="22"/>
        <v>1064000</v>
      </c>
      <c r="J138" s="49">
        <f t="shared" si="23"/>
        <v>140</v>
      </c>
      <c r="K138" s="6"/>
      <c r="L138" s="6"/>
      <c r="M138" s="100">
        <f t="shared" si="21"/>
        <v>0</v>
      </c>
      <c r="N138" s="4"/>
      <c r="O138" s="22">
        <v>7600</v>
      </c>
      <c r="P138" s="6" t="s">
        <v>35</v>
      </c>
      <c r="Q138" s="45" t="s">
        <v>136</v>
      </c>
      <c r="R138" s="65" t="s">
        <v>158</v>
      </c>
      <c r="S138" s="207">
        <v>140704</v>
      </c>
    </row>
    <row r="139" spans="2:19" ht="43.5" hidden="1" customHeight="1">
      <c r="D139" s="20"/>
      <c r="F139" s="20"/>
      <c r="G139" s="100">
        <f t="shared" si="20"/>
        <v>455000</v>
      </c>
      <c r="H139" s="1">
        <v>140</v>
      </c>
      <c r="I139" s="40">
        <f t="shared" si="22"/>
        <v>455000</v>
      </c>
      <c r="J139" s="49">
        <f t="shared" si="23"/>
        <v>140</v>
      </c>
      <c r="K139" s="6"/>
      <c r="L139" s="6"/>
      <c r="M139" s="100">
        <f t="shared" si="21"/>
        <v>0</v>
      </c>
      <c r="N139" s="4"/>
      <c r="O139" s="22">
        <v>3250</v>
      </c>
      <c r="P139" s="6" t="s">
        <v>35</v>
      </c>
      <c r="Q139" s="45" t="s">
        <v>167</v>
      </c>
      <c r="R139" s="65" t="s">
        <v>158</v>
      </c>
      <c r="S139" s="207">
        <v>140801</v>
      </c>
    </row>
    <row r="140" spans="2:19" ht="43.5" hidden="1" customHeight="1">
      <c r="B140" s="259">
        <v>950</v>
      </c>
      <c r="D140" s="20"/>
      <c r="F140" s="20"/>
      <c r="G140" s="100">
        <f t="shared" si="20"/>
        <v>72485000</v>
      </c>
      <c r="H140" s="1">
        <v>950</v>
      </c>
      <c r="I140" s="40">
        <f t="shared" si="22"/>
        <v>72485000</v>
      </c>
      <c r="J140" s="49">
        <f t="shared" si="23"/>
        <v>950</v>
      </c>
      <c r="K140" s="6"/>
      <c r="L140" s="6"/>
      <c r="M140" s="100">
        <f t="shared" si="21"/>
        <v>0</v>
      </c>
      <c r="N140" s="4"/>
      <c r="O140" s="22">
        <v>76300</v>
      </c>
      <c r="P140" s="6" t="s">
        <v>35</v>
      </c>
      <c r="Q140" s="45" t="s">
        <v>275</v>
      </c>
      <c r="R140" s="65" t="s">
        <v>158</v>
      </c>
      <c r="S140" s="207" t="s">
        <v>274</v>
      </c>
    </row>
    <row r="141" spans="2:19" ht="43.5" hidden="1" customHeight="1">
      <c r="D141" s="20"/>
      <c r="F141" s="20"/>
      <c r="G141" s="100">
        <f t="shared" si="20"/>
        <v>0</v>
      </c>
      <c r="H141" s="1"/>
      <c r="I141" s="40">
        <f t="shared" si="22"/>
        <v>0</v>
      </c>
      <c r="J141" s="49">
        <f t="shared" si="23"/>
        <v>0</v>
      </c>
      <c r="K141" s="6"/>
      <c r="L141" s="6"/>
      <c r="M141" s="100">
        <f t="shared" si="21"/>
        <v>0</v>
      </c>
      <c r="N141" s="4"/>
      <c r="O141" s="22">
        <v>9670</v>
      </c>
      <c r="P141" s="6" t="s">
        <v>35</v>
      </c>
      <c r="Q141" s="45" t="s">
        <v>137</v>
      </c>
      <c r="R141" s="65" t="s">
        <v>158</v>
      </c>
      <c r="S141" s="207">
        <v>141002</v>
      </c>
    </row>
    <row r="142" spans="2:19" ht="43.5" hidden="1" customHeight="1">
      <c r="D142" s="20">
        <v>400</v>
      </c>
      <c r="F142" s="20"/>
      <c r="G142" s="100">
        <f t="shared" si="20"/>
        <v>13800000</v>
      </c>
      <c r="H142" s="1">
        <v>400</v>
      </c>
      <c r="I142" s="40">
        <f t="shared" si="22"/>
        <v>13800000</v>
      </c>
      <c r="J142" s="49">
        <f t="shared" si="23"/>
        <v>400</v>
      </c>
      <c r="K142" s="6"/>
      <c r="L142" s="6"/>
      <c r="M142" s="100">
        <f t="shared" si="21"/>
        <v>0</v>
      </c>
      <c r="N142" s="4"/>
      <c r="O142" s="22">
        <v>34500</v>
      </c>
      <c r="P142" s="6" t="s">
        <v>35</v>
      </c>
      <c r="Q142" s="45" t="s">
        <v>253</v>
      </c>
      <c r="R142" s="65" t="s">
        <v>158</v>
      </c>
      <c r="S142" s="34" t="s">
        <v>251</v>
      </c>
    </row>
    <row r="143" spans="2:19" ht="43.5" hidden="1" customHeight="1">
      <c r="D143" s="20">
        <v>600</v>
      </c>
      <c r="F143" s="20"/>
      <c r="G143" s="100">
        <f t="shared" si="20"/>
        <v>17160000</v>
      </c>
      <c r="H143" s="1">
        <v>600</v>
      </c>
      <c r="I143" s="40">
        <f t="shared" si="22"/>
        <v>17160000</v>
      </c>
      <c r="J143" s="49">
        <f t="shared" si="23"/>
        <v>600</v>
      </c>
      <c r="K143" s="6"/>
      <c r="L143" s="6"/>
      <c r="M143" s="100">
        <f t="shared" si="21"/>
        <v>0</v>
      </c>
      <c r="N143" s="4"/>
      <c r="O143" s="22">
        <v>28600</v>
      </c>
      <c r="P143" s="6" t="s">
        <v>35</v>
      </c>
      <c r="Q143" s="45" t="s">
        <v>254</v>
      </c>
      <c r="R143" s="65" t="s">
        <v>158</v>
      </c>
      <c r="S143" s="34" t="s">
        <v>252</v>
      </c>
    </row>
    <row r="144" spans="2:19" ht="32.25" hidden="1" customHeight="1">
      <c r="B144" s="259" t="s">
        <v>276</v>
      </c>
      <c r="D144" s="20">
        <v>92520</v>
      </c>
      <c r="F144" s="20"/>
      <c r="G144" s="100">
        <f t="shared" si="20"/>
        <v>99048600</v>
      </c>
      <c r="H144" s="1">
        <f>92520+9*950</f>
        <v>101070</v>
      </c>
      <c r="I144" s="40">
        <f t="shared" si="22"/>
        <v>-34988940</v>
      </c>
      <c r="J144" s="49">
        <f t="shared" si="23"/>
        <v>-35703</v>
      </c>
      <c r="K144" s="6"/>
      <c r="L144" s="6"/>
      <c r="M144" s="100">
        <f t="shared" si="21"/>
        <v>134037540</v>
      </c>
      <c r="N144" s="4">
        <v>136773</v>
      </c>
      <c r="O144" s="104">
        <v>980</v>
      </c>
      <c r="P144" s="4" t="s">
        <v>44</v>
      </c>
      <c r="Q144" s="45" t="s">
        <v>68</v>
      </c>
      <c r="R144" s="65" t="s">
        <v>158</v>
      </c>
      <c r="S144" s="207">
        <v>141901</v>
      </c>
    </row>
    <row r="145" spans="2:19" ht="32.25" hidden="1" customHeight="1">
      <c r="B145" s="259" t="s">
        <v>277</v>
      </c>
      <c r="D145" s="20">
        <v>205600</v>
      </c>
      <c r="F145" s="20"/>
      <c r="G145" s="100">
        <f t="shared" si="20"/>
        <v>201017000</v>
      </c>
      <c r="H145" s="1">
        <f>205600+20*950</f>
        <v>224600</v>
      </c>
      <c r="I145" s="40">
        <f t="shared" si="22"/>
        <v>-71009300</v>
      </c>
      <c r="J145" s="49">
        <f t="shared" si="23"/>
        <v>-79340</v>
      </c>
      <c r="K145" s="6"/>
      <c r="L145" s="6"/>
      <c r="M145" s="100">
        <f t="shared" si="21"/>
        <v>272026300</v>
      </c>
      <c r="N145" s="4">
        <v>303940</v>
      </c>
      <c r="O145" s="22">
        <v>895</v>
      </c>
      <c r="P145" s="4" t="s">
        <v>44</v>
      </c>
      <c r="Q145" s="45" t="s">
        <v>242</v>
      </c>
      <c r="R145" s="65" t="s">
        <v>158</v>
      </c>
      <c r="S145" s="207">
        <v>141902</v>
      </c>
    </row>
    <row r="146" spans="2:19" ht="32.25" hidden="1" customHeight="1">
      <c r="B146" s="259" t="s">
        <v>278</v>
      </c>
      <c r="D146" s="57">
        <v>102800</v>
      </c>
      <c r="F146" s="57"/>
      <c r="G146" s="100">
        <f t="shared" si="20"/>
        <v>80294500</v>
      </c>
      <c r="H146" s="224">
        <f>102800+10*950</f>
        <v>112300</v>
      </c>
      <c r="I146" s="40">
        <f t="shared" si="22"/>
        <v>-28364050</v>
      </c>
      <c r="J146" s="49">
        <f t="shared" si="23"/>
        <v>-39670</v>
      </c>
      <c r="K146" s="7"/>
      <c r="L146" s="7"/>
      <c r="M146" s="100">
        <f t="shared" si="21"/>
        <v>108658550</v>
      </c>
      <c r="N146" s="59">
        <v>151970</v>
      </c>
      <c r="O146" s="60">
        <v>715</v>
      </c>
      <c r="P146" s="4" t="s">
        <v>44</v>
      </c>
      <c r="Q146" s="247" t="s">
        <v>241</v>
      </c>
      <c r="R146" s="65" t="s">
        <v>158</v>
      </c>
      <c r="S146" s="248" t="s">
        <v>240</v>
      </c>
    </row>
    <row r="147" spans="2:19" ht="29.25" hidden="1" customHeight="1" thickBot="1">
      <c r="D147" s="21"/>
      <c r="F147" s="21"/>
      <c r="G147" s="397">
        <f>SUM(G136:G146)</f>
        <v>1016764100</v>
      </c>
      <c r="H147" s="398"/>
      <c r="I147" s="432">
        <f>SUM(I136:I146)</f>
        <v>-607339290</v>
      </c>
      <c r="J147" s="432"/>
      <c r="K147" s="433">
        <f>SUM(K136:K145)</f>
        <v>0</v>
      </c>
      <c r="L147" s="433"/>
      <c r="M147" s="400">
        <f>SUM(M136:M146)</f>
        <v>1624103390</v>
      </c>
      <c r="N147" s="400"/>
      <c r="O147" s="400"/>
      <c r="P147" s="400"/>
      <c r="Q147" s="170" t="s">
        <v>13</v>
      </c>
      <c r="R147" s="68"/>
      <c r="S147" s="217"/>
    </row>
    <row r="148" spans="2:19" ht="49.5" hidden="1" customHeight="1">
      <c r="D148" s="13"/>
      <c r="F148" s="13"/>
      <c r="G148" s="99"/>
      <c r="H148" s="11"/>
      <c r="I148" s="54"/>
      <c r="J148" s="54"/>
      <c r="K148" s="87"/>
      <c r="L148" s="87"/>
      <c r="M148" s="99"/>
      <c r="N148" s="37"/>
      <c r="O148" s="37"/>
      <c r="P148" s="37"/>
      <c r="Q148" s="88"/>
      <c r="R148" s="88"/>
      <c r="S148" s="218"/>
    </row>
    <row r="149" spans="2:19" ht="49.5" hidden="1" customHeight="1" thickBot="1">
      <c r="D149" s="13"/>
      <c r="F149" s="13"/>
      <c r="G149" s="99"/>
      <c r="H149" s="11"/>
      <c r="I149" s="54"/>
      <c r="J149" s="54"/>
      <c r="K149" s="87"/>
      <c r="L149" s="87"/>
      <c r="M149" s="99"/>
      <c r="N149" s="37"/>
      <c r="O149" s="37"/>
      <c r="P149" s="37"/>
      <c r="Q149" s="88"/>
      <c r="R149" s="88"/>
      <c r="S149" s="218"/>
    </row>
    <row r="150" spans="2:19" ht="25.5" hidden="1" customHeight="1">
      <c r="D150" s="77"/>
      <c r="F150" s="173"/>
      <c r="G150" s="382" t="s">
        <v>300</v>
      </c>
      <c r="H150" s="382"/>
      <c r="I150" s="382" t="s">
        <v>145</v>
      </c>
      <c r="J150" s="382"/>
      <c r="K150" s="78"/>
      <c r="L150" s="78"/>
      <c r="M150" s="199"/>
      <c r="N150" s="78"/>
      <c r="O150" s="79"/>
      <c r="P150" s="78"/>
      <c r="Q150" s="80" t="s">
        <v>171</v>
      </c>
      <c r="R150" s="41"/>
      <c r="S150" s="219"/>
    </row>
    <row r="151" spans="2:19" ht="25.5" hidden="1" customHeight="1">
      <c r="D151" s="81"/>
      <c r="F151" s="174"/>
      <c r="G151" s="96"/>
      <c r="H151" s="82"/>
      <c r="I151" s="83"/>
      <c r="J151" s="143" t="s">
        <v>146</v>
      </c>
      <c r="K151" s="144"/>
      <c r="L151" s="144"/>
      <c r="M151" s="200"/>
      <c r="N151" s="144"/>
      <c r="O151" s="135"/>
      <c r="P151" s="144"/>
      <c r="Q151" s="84" t="s">
        <v>292</v>
      </c>
      <c r="R151" s="56"/>
      <c r="S151" s="175"/>
    </row>
    <row r="152" spans="2:19" ht="25.5" hidden="1" customHeight="1" thickBot="1">
      <c r="D152" s="85"/>
      <c r="F152" s="85"/>
      <c r="G152" s="145"/>
      <c r="H152" s="136"/>
      <c r="I152" s="146"/>
      <c r="J152" s="146"/>
      <c r="K152" s="136"/>
      <c r="L152" s="136"/>
      <c r="M152" s="202" t="s">
        <v>183</v>
      </c>
      <c r="N152" s="136"/>
      <c r="O152" s="136"/>
      <c r="P152" s="136"/>
      <c r="Q152" s="86" t="s">
        <v>210</v>
      </c>
      <c r="R152" s="42"/>
      <c r="S152" s="205"/>
    </row>
    <row r="153" spans="2:19" ht="34.5" hidden="1" customHeight="1">
      <c r="C153" s="3" t="s">
        <v>291</v>
      </c>
      <c r="D153" s="20"/>
      <c r="F153" s="20"/>
      <c r="G153" s="100">
        <f>H153*O153</f>
        <v>6300000</v>
      </c>
      <c r="H153" s="1">
        <v>700</v>
      </c>
      <c r="I153" s="40">
        <f>J153*O153</f>
        <v>6300000</v>
      </c>
      <c r="J153" s="49">
        <f>H153-N153</f>
        <v>700</v>
      </c>
      <c r="K153" s="4"/>
      <c r="L153" s="4"/>
      <c r="M153" s="191"/>
      <c r="N153" s="4"/>
      <c r="O153" s="22">
        <v>9000</v>
      </c>
      <c r="P153" s="4" t="s">
        <v>36</v>
      </c>
      <c r="Q153" s="4" t="s">
        <v>98</v>
      </c>
      <c r="R153" s="64" t="s">
        <v>158</v>
      </c>
      <c r="S153" s="32" t="s">
        <v>97</v>
      </c>
    </row>
    <row r="154" spans="2:19" ht="34.5" hidden="1" customHeight="1">
      <c r="D154" s="20"/>
      <c r="F154" s="20"/>
      <c r="G154" s="100"/>
      <c r="H154" s="1"/>
      <c r="I154" s="40">
        <f>J154*O154</f>
        <v>0</v>
      </c>
      <c r="J154" s="49">
        <f>H154-N154</f>
        <v>0</v>
      </c>
      <c r="K154" s="4"/>
      <c r="L154" s="4"/>
      <c r="M154" s="191"/>
      <c r="N154" s="4"/>
      <c r="O154" s="22">
        <v>43200</v>
      </c>
      <c r="P154" s="4" t="s">
        <v>36</v>
      </c>
      <c r="Q154" s="4" t="s">
        <v>106</v>
      </c>
      <c r="R154" s="64" t="s">
        <v>158</v>
      </c>
      <c r="S154" s="32" t="s">
        <v>105</v>
      </c>
    </row>
    <row r="155" spans="2:19" s="171" customFormat="1" ht="34.5" hidden="1" customHeight="1" thickBot="1">
      <c r="B155" s="260"/>
      <c r="C155" s="263"/>
      <c r="D155" s="131"/>
      <c r="F155" s="131"/>
      <c r="G155" s="397">
        <f>SUM(G153:G154)</f>
        <v>6300000</v>
      </c>
      <c r="H155" s="398"/>
      <c r="I155" s="399">
        <f>SUM(I153:I154)</f>
        <v>6300000</v>
      </c>
      <c r="J155" s="399"/>
      <c r="K155" s="411">
        <f>SUM(K153:K154)</f>
        <v>0</v>
      </c>
      <c r="L155" s="411"/>
      <c r="M155" s="411">
        <f>SUM(M153:M154)</f>
        <v>0</v>
      </c>
      <c r="N155" s="411"/>
      <c r="O155" s="133"/>
      <c r="P155" s="132"/>
      <c r="Q155" s="134" t="s">
        <v>60</v>
      </c>
      <c r="R155" s="172"/>
      <c r="S155" s="217"/>
    </row>
    <row r="156" spans="2:19" ht="32.25" hidden="1" customHeight="1">
      <c r="D156" s="177"/>
      <c r="F156" s="177"/>
      <c r="G156" s="103"/>
      <c r="H156" s="75"/>
      <c r="I156" s="40">
        <f>J156*O156</f>
        <v>0</v>
      </c>
      <c r="J156" s="49">
        <f>H156-N156</f>
        <v>0</v>
      </c>
      <c r="K156" s="75"/>
      <c r="L156" s="75"/>
      <c r="M156" s="191"/>
      <c r="N156" s="75"/>
      <c r="O156" s="90">
        <v>40700</v>
      </c>
      <c r="P156" s="4" t="s">
        <v>125</v>
      </c>
      <c r="Q156" s="71" t="s">
        <v>168</v>
      </c>
      <c r="R156" s="72" t="s">
        <v>158</v>
      </c>
      <c r="S156" s="214">
        <v>190103</v>
      </c>
    </row>
    <row r="157" spans="2:19" ht="32.25" hidden="1" customHeight="1">
      <c r="D157" s="177">
        <v>4369.33</v>
      </c>
      <c r="F157" s="177"/>
      <c r="G157" s="103">
        <f>H157*O157</f>
        <v>27087800</v>
      </c>
      <c r="H157" s="75">
        <v>4369</v>
      </c>
      <c r="I157" s="40">
        <f>J157*O157</f>
        <v>27087800</v>
      </c>
      <c r="J157" s="49">
        <f>H157-N157</f>
        <v>4369</v>
      </c>
      <c r="K157" s="75"/>
      <c r="L157" s="75"/>
      <c r="M157" s="191"/>
      <c r="N157" s="75"/>
      <c r="O157" s="90">
        <v>6200</v>
      </c>
      <c r="P157" s="4" t="s">
        <v>125</v>
      </c>
      <c r="Q157" s="71" t="s">
        <v>256</v>
      </c>
      <c r="R157" s="72" t="s">
        <v>158</v>
      </c>
      <c r="S157" s="212" t="s">
        <v>255</v>
      </c>
    </row>
    <row r="158" spans="2:19" ht="32.25" hidden="1" customHeight="1">
      <c r="B158" s="259">
        <v>450</v>
      </c>
      <c r="C158" s="3">
        <v>300</v>
      </c>
      <c r="D158" s="5">
        <v>348.75</v>
      </c>
      <c r="F158" s="5"/>
      <c r="G158" s="103">
        <f>H158*O158</f>
        <v>61048800</v>
      </c>
      <c r="H158" s="1">
        <f>348+300+450</f>
        <v>1098</v>
      </c>
      <c r="I158" s="40">
        <f>J158*O158</f>
        <v>61048800</v>
      </c>
      <c r="J158" s="49">
        <f>H158-N158</f>
        <v>1098</v>
      </c>
      <c r="K158" s="4"/>
      <c r="L158" s="4"/>
      <c r="M158" s="191"/>
      <c r="N158" s="4"/>
      <c r="O158" s="22">
        <v>55600</v>
      </c>
      <c r="P158" s="4" t="s">
        <v>108</v>
      </c>
      <c r="Q158" s="46" t="s">
        <v>150</v>
      </c>
      <c r="R158" s="72" t="s">
        <v>158</v>
      </c>
      <c r="S158" s="32" t="s">
        <v>149</v>
      </c>
    </row>
    <row r="159" spans="2:19" ht="32.25" hidden="1" customHeight="1">
      <c r="D159" s="57"/>
      <c r="F159" s="57"/>
      <c r="G159" s="103">
        <f>H159*O159</f>
        <v>10680000</v>
      </c>
      <c r="H159" s="1">
        <v>120</v>
      </c>
      <c r="I159" s="40">
        <f>J159*O159</f>
        <v>-7120000</v>
      </c>
      <c r="J159" s="49">
        <f>H159-N159</f>
        <v>-80</v>
      </c>
      <c r="K159" s="59"/>
      <c r="L159" s="59"/>
      <c r="M159" s="191">
        <f>N159*O159</f>
        <v>17800000</v>
      </c>
      <c r="N159" s="59">
        <v>200</v>
      </c>
      <c r="O159" s="60">
        <v>89000</v>
      </c>
      <c r="P159" s="59" t="s">
        <v>64</v>
      </c>
      <c r="Q159" s="247" t="s">
        <v>244</v>
      </c>
      <c r="R159" s="72" t="s">
        <v>159</v>
      </c>
      <c r="S159" s="76" t="s">
        <v>243</v>
      </c>
    </row>
    <row r="160" spans="2:19" s="178" customFormat="1" ht="32.25" hidden="1" customHeight="1" thickBot="1">
      <c r="B160" s="261"/>
      <c r="C160" s="264"/>
      <c r="D160" s="179"/>
      <c r="F160" s="179"/>
      <c r="G160" s="407">
        <f>SUM(G156:G159)</f>
        <v>98816600</v>
      </c>
      <c r="H160" s="408"/>
      <c r="I160" s="403">
        <f>SUM(I156:I159)</f>
        <v>81016600</v>
      </c>
      <c r="J160" s="403"/>
      <c r="K160" s="434" t="e">
        <f>SUM(#REF!)</f>
        <v>#REF!</v>
      </c>
      <c r="L160" s="434"/>
      <c r="M160" s="434">
        <f>SUM(M156:M159)</f>
        <v>17800000</v>
      </c>
      <c r="N160" s="434"/>
      <c r="O160" s="182"/>
      <c r="P160" s="181"/>
      <c r="Q160" s="183" t="s">
        <v>107</v>
      </c>
      <c r="R160" s="184"/>
      <c r="S160" s="221"/>
    </row>
    <row r="161" spans="2:28" ht="25.5" hidden="1" customHeight="1" thickBot="1">
      <c r="D161" s="85"/>
      <c r="F161" s="85"/>
      <c r="G161" s="145"/>
      <c r="H161" s="136"/>
      <c r="I161" s="146"/>
      <c r="J161" s="146"/>
      <c r="K161" s="136"/>
      <c r="L161" s="136"/>
      <c r="M161" s="202" t="s">
        <v>183</v>
      </c>
      <c r="N161" s="136"/>
      <c r="O161" s="136"/>
      <c r="P161" s="136"/>
      <c r="Q161" s="86" t="s">
        <v>211</v>
      </c>
      <c r="R161" s="42"/>
      <c r="S161" s="205"/>
    </row>
    <row r="162" spans="2:28" ht="33" hidden="1" customHeight="1">
      <c r="B162" s="265">
        <f>(C109+B109)*0.25*45</f>
        <v>34233.75</v>
      </c>
      <c r="D162" s="20">
        <v>32089.8</v>
      </c>
      <c r="F162" s="20"/>
      <c r="G162" s="100">
        <f>H162*O162</f>
        <v>24207530</v>
      </c>
      <c r="H162" s="1">
        <f>32089+34233</f>
        <v>66322</v>
      </c>
      <c r="I162" s="40">
        <f>J162*O162</f>
        <v>11620870</v>
      </c>
      <c r="J162" s="49">
        <f>H162-N162</f>
        <v>31838</v>
      </c>
      <c r="K162" s="4"/>
      <c r="L162" s="4"/>
      <c r="M162" s="191">
        <f>N162*O162</f>
        <v>12586660</v>
      </c>
      <c r="N162" s="4">
        <v>34484</v>
      </c>
      <c r="O162" s="22">
        <v>365</v>
      </c>
      <c r="P162" s="4" t="s">
        <v>59</v>
      </c>
      <c r="Q162" s="4" t="s">
        <v>56</v>
      </c>
      <c r="R162" s="64" t="s">
        <v>158</v>
      </c>
      <c r="S162" s="207" t="s">
        <v>53</v>
      </c>
    </row>
    <row r="163" spans="2:28" ht="33" hidden="1" customHeight="1">
      <c r="B163" s="265">
        <f>(C109+B109)*0.25*75</f>
        <v>57056.25</v>
      </c>
      <c r="D163" s="20">
        <v>27643.439999999999</v>
      </c>
      <c r="F163" s="20"/>
      <c r="G163" s="100">
        <f>H163*O163</f>
        <v>20751255</v>
      </c>
      <c r="H163" s="1">
        <f>27643+57056</f>
        <v>84699</v>
      </c>
      <c r="I163" s="40">
        <f>J163*O163</f>
        <v>13560995</v>
      </c>
      <c r="J163" s="49">
        <f>H163-N163</f>
        <v>55351</v>
      </c>
      <c r="K163" s="4"/>
      <c r="L163" s="4"/>
      <c r="M163" s="191">
        <f>N163*O163</f>
        <v>7190260</v>
      </c>
      <c r="N163" s="4">
        <v>29348</v>
      </c>
      <c r="O163" s="22">
        <v>245</v>
      </c>
      <c r="P163" s="4" t="s">
        <v>59</v>
      </c>
      <c r="Q163" s="4" t="s">
        <v>57</v>
      </c>
      <c r="R163" s="64" t="s">
        <v>158</v>
      </c>
      <c r="S163" s="207" t="s">
        <v>54</v>
      </c>
    </row>
    <row r="164" spans="2:28" ht="33" hidden="1" customHeight="1">
      <c r="B164" s="265">
        <f>(C109+B109)*0.25*150</f>
        <v>114112.5</v>
      </c>
      <c r="D164" s="20">
        <v>10067.700000000001</v>
      </c>
      <c r="F164" s="20"/>
      <c r="G164" s="100">
        <f>H164*O164</f>
        <v>1560385</v>
      </c>
      <c r="H164" s="1">
        <v>10067</v>
      </c>
      <c r="I164" s="40">
        <f>J164*O164</f>
        <v>91295</v>
      </c>
      <c r="J164" s="49">
        <f>H164-N164</f>
        <v>589</v>
      </c>
      <c r="K164" s="4"/>
      <c r="L164" s="4"/>
      <c r="M164" s="191">
        <f>N164*O164</f>
        <v>1469090</v>
      </c>
      <c r="N164" s="4">
        <v>9478</v>
      </c>
      <c r="O164" s="22">
        <v>155</v>
      </c>
      <c r="P164" s="4" t="s">
        <v>59</v>
      </c>
      <c r="Q164" s="4" t="s">
        <v>58</v>
      </c>
      <c r="R164" s="64" t="s">
        <v>158</v>
      </c>
      <c r="S164" s="207" t="s">
        <v>55</v>
      </c>
    </row>
    <row r="165" spans="2:28" ht="33" hidden="1" customHeight="1">
      <c r="B165" s="265"/>
      <c r="D165" s="20">
        <v>10067.700000000001</v>
      </c>
      <c r="F165" s="20"/>
      <c r="G165" s="100">
        <f>H165*O165</f>
        <v>1258375</v>
      </c>
      <c r="H165" s="1">
        <v>10067</v>
      </c>
      <c r="I165" s="40">
        <f>J165*O165</f>
        <v>73625</v>
      </c>
      <c r="J165" s="49">
        <f>H165-N165</f>
        <v>589</v>
      </c>
      <c r="K165" s="4"/>
      <c r="L165" s="4"/>
      <c r="M165" s="191">
        <f>N165*O165</f>
        <v>1184750</v>
      </c>
      <c r="N165" s="4">
        <v>9478</v>
      </c>
      <c r="O165" s="22">
        <v>125</v>
      </c>
      <c r="P165" s="4" t="s">
        <v>59</v>
      </c>
      <c r="Q165" s="4" t="s">
        <v>113</v>
      </c>
      <c r="R165" s="64" t="s">
        <v>158</v>
      </c>
      <c r="S165" s="207" t="s">
        <v>112</v>
      </c>
    </row>
    <row r="166" spans="2:28" ht="33" hidden="1" customHeight="1">
      <c r="B166" s="265"/>
      <c r="D166" s="20">
        <v>3355.9</v>
      </c>
      <c r="F166" s="20"/>
      <c r="G166" s="100">
        <f>H166*O166</f>
        <v>369050</v>
      </c>
      <c r="H166" s="1">
        <v>3355</v>
      </c>
      <c r="I166" s="40">
        <f>J166*O166</f>
        <v>21560</v>
      </c>
      <c r="J166" s="49">
        <f>H166-N166</f>
        <v>196</v>
      </c>
      <c r="K166" s="4"/>
      <c r="L166" s="4"/>
      <c r="M166" s="191">
        <f>N166*O166</f>
        <v>347490</v>
      </c>
      <c r="N166" s="4">
        <v>3159</v>
      </c>
      <c r="O166" s="22">
        <v>110</v>
      </c>
      <c r="P166" s="4" t="s">
        <v>59</v>
      </c>
      <c r="Q166" s="4" t="s">
        <v>127</v>
      </c>
      <c r="R166" s="64" t="s">
        <v>158</v>
      </c>
      <c r="S166" s="207" t="s">
        <v>126</v>
      </c>
    </row>
    <row r="167" spans="2:28" s="178" customFormat="1" ht="33" hidden="1" customHeight="1" thickBot="1">
      <c r="B167" s="261"/>
      <c r="C167" s="264"/>
      <c r="D167" s="179"/>
      <c r="F167" s="179"/>
      <c r="G167" s="407">
        <f>SUM(G162:G166)</f>
        <v>48146595</v>
      </c>
      <c r="H167" s="408"/>
      <c r="I167" s="403">
        <f>SUM(I162:I166)</f>
        <v>25368345</v>
      </c>
      <c r="J167" s="403"/>
      <c r="K167" s="434">
        <f>SUM(K162:K166)</f>
        <v>0</v>
      </c>
      <c r="L167" s="434"/>
      <c r="M167" s="434">
        <f>SUM(M162:M166)</f>
        <v>22778250</v>
      </c>
      <c r="N167" s="434"/>
      <c r="O167" s="182"/>
      <c r="P167" s="181"/>
      <c r="Q167" s="181" t="s">
        <v>14</v>
      </c>
      <c r="R167" s="180"/>
      <c r="S167" s="221"/>
    </row>
    <row r="168" spans="2:28" ht="49.5" hidden="1" customHeight="1"/>
    <row r="169" spans="2:28" ht="49.5" hidden="1" customHeight="1"/>
    <row r="170" spans="2:28" ht="49.5" hidden="1" customHeight="1"/>
    <row r="171" spans="2:28" ht="49.5" hidden="1" customHeight="1">
      <c r="T171" s="3"/>
      <c r="U171" s="3"/>
      <c r="V171" s="3"/>
      <c r="W171" s="3"/>
      <c r="X171" s="3"/>
      <c r="Y171" s="3"/>
      <c r="Z171" s="14"/>
      <c r="AA171" s="14"/>
      <c r="AB171" s="12"/>
    </row>
    <row r="172" spans="2:28" ht="49.5" hidden="1" customHeight="1">
      <c r="T172" s="3"/>
      <c r="U172" s="3"/>
      <c r="V172" s="3"/>
      <c r="W172" s="3"/>
      <c r="X172" s="3"/>
      <c r="Y172" s="3"/>
      <c r="Z172" s="14"/>
      <c r="AA172" s="14"/>
      <c r="AB172" s="12"/>
    </row>
    <row r="173" spans="2:28" ht="49.5" hidden="1" customHeight="1">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D175" s="25"/>
      <c r="F175" s="25"/>
      <c r="T175" s="3"/>
      <c r="U175" s="3"/>
      <c r="V175" s="3"/>
      <c r="W175" s="3"/>
      <c r="X175" s="3"/>
      <c r="Y175" s="3"/>
      <c r="Z175" s="14"/>
      <c r="AA175" s="14"/>
      <c r="AB175" s="12"/>
    </row>
    <row r="176" spans="2:28" ht="49.5" hidden="1" customHeight="1">
      <c r="T176" s="3"/>
      <c r="U176" s="3"/>
      <c r="V176" s="3"/>
      <c r="W176" s="3"/>
      <c r="X176" s="3"/>
      <c r="Y176" s="3"/>
      <c r="Z176" s="14"/>
      <c r="AA176" s="14"/>
      <c r="AB176" s="12"/>
    </row>
    <row r="177" spans="4:28" ht="49.5" hidden="1" customHeight="1">
      <c r="D177" s="26"/>
      <c r="F177" s="26"/>
      <c r="T177" s="3"/>
      <c r="U177" s="3"/>
      <c r="V177" s="3"/>
      <c r="W177" s="3"/>
      <c r="X177" s="3"/>
      <c r="Y177" s="3"/>
      <c r="Z177" s="14"/>
      <c r="AA177" s="14"/>
      <c r="AB177" s="12"/>
    </row>
    <row r="178" spans="4:28" ht="49.5" hidden="1" customHeight="1">
      <c r="T178" s="3"/>
      <c r="U178" s="3"/>
      <c r="V178" s="3"/>
      <c r="W178" s="3"/>
      <c r="X178" s="3"/>
      <c r="Y178" s="3"/>
      <c r="Z178" s="14"/>
      <c r="AA178" s="14"/>
      <c r="AB178" s="12"/>
    </row>
    <row r="179" spans="4:28" ht="49.5" hidden="1" customHeight="1">
      <c r="T179" s="3"/>
      <c r="U179" s="3"/>
      <c r="V179" s="3"/>
      <c r="W179" s="3"/>
      <c r="X179" s="3"/>
      <c r="Y179" s="3"/>
      <c r="Z179" s="14"/>
      <c r="AA179" s="14"/>
      <c r="AB179" s="12"/>
    </row>
    <row r="180" spans="4:28" ht="49.5" hidden="1" customHeight="1">
      <c r="T180" s="3"/>
      <c r="U180" s="3"/>
      <c r="V180" s="3"/>
      <c r="W180" s="3"/>
      <c r="X180" s="3"/>
      <c r="Y180" s="3"/>
      <c r="Z180" s="14"/>
      <c r="AA180" s="14"/>
      <c r="AB180" s="12"/>
    </row>
    <row r="181" spans="4:28" ht="49.5" hidden="1" customHeight="1">
      <c r="D181" s="16">
        <v>1.25</v>
      </c>
      <c r="F181" s="16">
        <v>1.25</v>
      </c>
      <c r="I181" s="33" t="s">
        <v>69</v>
      </c>
      <c r="J181" s="33" t="s">
        <v>67</v>
      </c>
      <c r="T181" s="3"/>
      <c r="U181" s="3"/>
      <c r="V181" s="3"/>
      <c r="W181" s="3"/>
      <c r="X181" s="3"/>
      <c r="Y181" s="3"/>
      <c r="Z181" s="14"/>
      <c r="AA181" s="14"/>
      <c r="AB181" s="12"/>
    </row>
    <row r="182" spans="4:28" ht="49.5" hidden="1" customHeight="1">
      <c r="D182" s="16" t="e">
        <f>G167+#REF!+#REF!+G155+#REF!+G147+#REF!+G124+G100+#REF!+G95+G83+#REF!+G39+G16+#REF!</f>
        <v>#REF!</v>
      </c>
      <c r="F182" s="16" t="e">
        <f>I167+#REF!+#REF!+I155+#REF!+I147+#REF!+I124+I100+#REF!+I95+I83+#REF!+I39+I16+#REF!</f>
        <v>#REF!</v>
      </c>
      <c r="I182" s="53" t="e">
        <f>K167+#REF!+#REF!+K155+#REF!+K147+#REF!+K124+K100+#REF!+K95+K83+#REF!+K39+K16+#REF!</f>
        <v>#REF!</v>
      </c>
      <c r="J182" s="33" t="e">
        <f>M167+#REF!+#REF!+M155+#REF!+#REF!+M124+M100+#REF!+M95+M83+M39+#REF!+M16+M147+#REF!</f>
        <v>#REF!</v>
      </c>
      <c r="T182" s="3"/>
      <c r="U182" s="3"/>
      <c r="V182" s="3"/>
      <c r="W182" s="3"/>
      <c r="X182" s="3"/>
      <c r="Y182" s="3"/>
      <c r="Z182" s="14"/>
      <c r="AA182" s="14"/>
      <c r="AB182" s="12"/>
    </row>
    <row r="183" spans="4:28" ht="49.5" customHeight="1">
      <c r="T183" s="3"/>
      <c r="U183" s="3"/>
      <c r="V183" s="3"/>
      <c r="W183" s="3"/>
      <c r="X183" s="3"/>
      <c r="Y183" s="3"/>
      <c r="Z183" s="14"/>
      <c r="AA183" s="14"/>
      <c r="AB183" s="12"/>
    </row>
    <row r="184" spans="4:28" ht="49.5" customHeight="1">
      <c r="T184" s="3"/>
      <c r="U184" s="3"/>
      <c r="V184" s="3"/>
      <c r="W184" s="3"/>
      <c r="X184" s="3"/>
      <c r="Y184" s="3"/>
      <c r="Z184" s="14"/>
      <c r="AA184" s="14"/>
      <c r="AB184" s="12"/>
    </row>
    <row r="185" spans="4:28" ht="49.5" customHeight="1">
      <c r="T185" s="3"/>
      <c r="U185" s="3"/>
      <c r="V185" s="3"/>
      <c r="W185" s="3"/>
      <c r="X185" s="3"/>
      <c r="Y185" s="3"/>
      <c r="Z185" s="14"/>
      <c r="AA185" s="14"/>
      <c r="AB185" s="12"/>
    </row>
    <row r="186" spans="4:28" ht="49.5" customHeight="1">
      <c r="T186" s="3"/>
      <c r="U186" s="3"/>
      <c r="V186" s="3"/>
      <c r="W186" s="3"/>
      <c r="X186" s="3"/>
      <c r="Y186" s="3"/>
      <c r="Z186" s="14"/>
      <c r="AA186" s="14"/>
      <c r="AB186" s="12"/>
    </row>
    <row r="187" spans="4:28" ht="49.5" customHeight="1">
      <c r="T187" s="3"/>
      <c r="U187" s="3"/>
      <c r="V187" s="3"/>
      <c r="W187" s="3"/>
      <c r="X187" s="3"/>
      <c r="Y187" s="3"/>
      <c r="Z187" s="14"/>
      <c r="AA187" s="14"/>
      <c r="AB187" s="12"/>
    </row>
    <row r="188" spans="4:28" ht="49.5" customHeight="1">
      <c r="Z188" s="12"/>
      <c r="AA188" s="12"/>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row r="197" spans="26:28" ht="49.5" customHeight="1">
      <c r="Z197" s="12"/>
      <c r="AA197" s="12"/>
      <c r="AB197" s="12"/>
    </row>
    <row r="198" spans="26:28" ht="49.5" customHeight="1">
      <c r="Z198" s="12"/>
      <c r="AA198" s="12"/>
      <c r="AB198" s="12"/>
    </row>
    <row r="199" spans="26:28" ht="49.5" customHeight="1">
      <c r="Z199" s="12"/>
      <c r="AA199" s="12"/>
      <c r="AB199" s="12"/>
    </row>
    <row r="200" spans="26:28" ht="49.5" customHeight="1">
      <c r="Z200" s="12"/>
      <c r="AA200" s="12"/>
      <c r="AB200" s="12"/>
    </row>
    <row r="201" spans="26:28" ht="49.5" customHeight="1">
      <c r="Z201" s="12"/>
      <c r="AA201" s="12"/>
      <c r="AB201" s="12"/>
    </row>
  </sheetData>
  <mergeCells count="129">
    <mergeCell ref="G1:H1"/>
    <mergeCell ref="I1:J1"/>
    <mergeCell ref="D3:D4"/>
    <mergeCell ref="F3:F4"/>
    <mergeCell ref="G3:H3"/>
    <mergeCell ref="I3:J3"/>
    <mergeCell ref="K3:L3"/>
    <mergeCell ref="M3:N3"/>
    <mergeCell ref="O3:O4"/>
    <mergeCell ref="P3:P4"/>
    <mergeCell ref="Q3:Q4"/>
    <mergeCell ref="S3:S4"/>
    <mergeCell ref="I16:J16"/>
    <mergeCell ref="K16:L16"/>
    <mergeCell ref="M16:N16"/>
    <mergeCell ref="G18:H18"/>
    <mergeCell ref="I18:J18"/>
    <mergeCell ref="D21:D22"/>
    <mergeCell ref="F21:F22"/>
    <mergeCell ref="G21:H21"/>
    <mergeCell ref="I21:J21"/>
    <mergeCell ref="K21:L21"/>
    <mergeCell ref="M21:N21"/>
    <mergeCell ref="O21:O22"/>
    <mergeCell ref="P21:P22"/>
    <mergeCell ref="Q21:Q22"/>
    <mergeCell ref="S21:S22"/>
    <mergeCell ref="G39:H39"/>
    <mergeCell ref="I39:J39"/>
    <mergeCell ref="K39:L39"/>
    <mergeCell ref="M39:N39"/>
    <mergeCell ref="G41:H41"/>
    <mergeCell ref="I41:J41"/>
    <mergeCell ref="G59:H59"/>
    <mergeCell ref="I59:J59"/>
    <mergeCell ref="K59:L59"/>
    <mergeCell ref="M59:N59"/>
    <mergeCell ref="G61:H61"/>
    <mergeCell ref="I61:J61"/>
    <mergeCell ref="D64:D65"/>
    <mergeCell ref="F64:F65"/>
    <mergeCell ref="G64:H64"/>
    <mergeCell ref="I64:J64"/>
    <mergeCell ref="K64:L64"/>
    <mergeCell ref="M64:N64"/>
    <mergeCell ref="O64:O65"/>
    <mergeCell ref="P64:P65"/>
    <mergeCell ref="Q64:Q65"/>
    <mergeCell ref="S64:S65"/>
    <mergeCell ref="G70:H70"/>
    <mergeCell ref="I70:J70"/>
    <mergeCell ref="M70:N70"/>
    <mergeCell ref="G83:H83"/>
    <mergeCell ref="I83:J83"/>
    <mergeCell ref="K83:L83"/>
    <mergeCell ref="M83:N83"/>
    <mergeCell ref="G85:H85"/>
    <mergeCell ref="I85:J85"/>
    <mergeCell ref="D88:D89"/>
    <mergeCell ref="F88:F89"/>
    <mergeCell ref="G88:H88"/>
    <mergeCell ref="I88:J88"/>
    <mergeCell ref="K88:L88"/>
    <mergeCell ref="M88:N88"/>
    <mergeCell ref="O88:O89"/>
    <mergeCell ref="P88:P89"/>
    <mergeCell ref="Q88:Q89"/>
    <mergeCell ref="S88:S89"/>
    <mergeCell ref="G95:H95"/>
    <mergeCell ref="I95:J95"/>
    <mergeCell ref="K95:L95"/>
    <mergeCell ref="M95:N95"/>
    <mergeCell ref="O95:P95"/>
    <mergeCell ref="G100:H100"/>
    <mergeCell ref="I100:J100"/>
    <mergeCell ref="K100:L100"/>
    <mergeCell ref="M100:N100"/>
    <mergeCell ref="G102:H102"/>
    <mergeCell ref="I102:J102"/>
    <mergeCell ref="D105:D106"/>
    <mergeCell ref="F105:F106"/>
    <mergeCell ref="G105:H105"/>
    <mergeCell ref="I105:J105"/>
    <mergeCell ref="K105:L105"/>
    <mergeCell ref="M105:N105"/>
    <mergeCell ref="O105:O106"/>
    <mergeCell ref="P105:P106"/>
    <mergeCell ref="Q105:Q106"/>
    <mergeCell ref="S105:S106"/>
    <mergeCell ref="G124:H124"/>
    <mergeCell ref="I124:J124"/>
    <mergeCell ref="K124:L124"/>
    <mergeCell ref="M124:N124"/>
    <mergeCell ref="G126:H126"/>
    <mergeCell ref="I126:J126"/>
    <mergeCell ref="S129:S130"/>
    <mergeCell ref="G134:H134"/>
    <mergeCell ref="I134:J134"/>
    <mergeCell ref="K134:L134"/>
    <mergeCell ref="M134:N134"/>
    <mergeCell ref="D129:D130"/>
    <mergeCell ref="F129:F130"/>
    <mergeCell ref="G129:H129"/>
    <mergeCell ref="I129:J129"/>
    <mergeCell ref="K129:L129"/>
    <mergeCell ref="P1:Q1"/>
    <mergeCell ref="G167:H167"/>
    <mergeCell ref="I167:J167"/>
    <mergeCell ref="K167:L167"/>
    <mergeCell ref="M167:N167"/>
    <mergeCell ref="G155:H155"/>
    <mergeCell ref="I155:J155"/>
    <mergeCell ref="K155:L155"/>
    <mergeCell ref="M155:N155"/>
    <mergeCell ref="G160:H160"/>
    <mergeCell ref="I160:J160"/>
    <mergeCell ref="O147:P147"/>
    <mergeCell ref="G150:H150"/>
    <mergeCell ref="I150:J150"/>
    <mergeCell ref="O129:O130"/>
    <mergeCell ref="P129:P130"/>
    <mergeCell ref="Q129:Q130"/>
    <mergeCell ref="M129:N129"/>
    <mergeCell ref="K160:L160"/>
    <mergeCell ref="M160:N160"/>
    <mergeCell ref="G147:H147"/>
    <mergeCell ref="I147:J147"/>
    <mergeCell ref="K147:L147"/>
    <mergeCell ref="M147:N147"/>
  </mergeCells>
  <printOptions horizontalCentered="1"/>
  <pageMargins left="0" right="0" top="0.78740157480314965" bottom="0.98425196850393704" header="0.39370078740157483" footer="0.59055118110236227"/>
  <pageSetup paperSize="9" scale="90"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7"/>
  <sheetViews>
    <sheetView view="pageBreakPreview" topLeftCell="F1" zoomScaleNormal="90" zoomScaleSheetLayoutView="100" workbookViewId="0">
      <selection activeCell="J8" sqref="J8"/>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7.5703125" style="16" customWidth="1"/>
    <col min="7" max="7" width="14.85546875" style="95" customWidth="1"/>
    <col min="8" max="8" width="13.5703125" style="16" customWidth="1"/>
    <col min="9" max="9" width="13.140625" style="33" customWidth="1"/>
    <col min="10" max="10" width="15.7109375"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9" t="s">
        <v>142</v>
      </c>
      <c r="K4" s="357" t="s">
        <v>4</v>
      </c>
      <c r="L4" s="357" t="s">
        <v>3</v>
      </c>
      <c r="M4" s="100" t="s">
        <v>141</v>
      </c>
      <c r="N4" s="357" t="s">
        <v>140</v>
      </c>
      <c r="O4" s="429"/>
      <c r="P4" s="388"/>
      <c r="Q4" s="388"/>
      <c r="R4" s="2"/>
      <c r="S4" s="421"/>
    </row>
    <row r="5" spans="2:19" ht="23.25" customHeight="1" thickBot="1">
      <c r="D5" s="85"/>
      <c r="F5" s="176"/>
      <c r="G5" s="145"/>
      <c r="H5" s="136"/>
      <c r="I5" s="146"/>
      <c r="J5" s="146"/>
      <c r="K5" s="136"/>
      <c r="L5" s="136"/>
      <c r="M5" s="145" t="s">
        <v>381</v>
      </c>
      <c r="N5" s="136"/>
      <c r="O5" s="136"/>
      <c r="P5" s="136"/>
      <c r="Q5" s="86" t="s">
        <v>441</v>
      </c>
      <c r="R5" s="42"/>
      <c r="S5" s="220"/>
    </row>
    <row r="6" spans="2:19" ht="32.25" customHeight="1">
      <c r="D6" s="342"/>
      <c r="F6" s="343"/>
      <c r="G6" s="269"/>
      <c r="H6" s="269">
        <f>(J6-N6)*O6</f>
        <v>11829969.000000002</v>
      </c>
      <c r="I6" s="269">
        <f t="shared" ref="I6:I11" si="0">J6*O6</f>
        <v>13506669.000000002</v>
      </c>
      <c r="J6" s="345">
        <v>555.83000000000004</v>
      </c>
      <c r="K6" s="346"/>
      <c r="L6" s="346"/>
      <c r="M6" s="269">
        <f>N6*O6</f>
        <v>1676700</v>
      </c>
      <c r="N6" s="341">
        <v>69</v>
      </c>
      <c r="O6" s="340">
        <v>24300</v>
      </c>
      <c r="P6" s="6" t="s">
        <v>325</v>
      </c>
      <c r="Q6" s="6" t="s">
        <v>380</v>
      </c>
      <c r="R6" s="63" t="s">
        <v>158</v>
      </c>
      <c r="S6" s="344" t="s">
        <v>379</v>
      </c>
    </row>
    <row r="7" spans="2:19" ht="33" customHeight="1">
      <c r="B7" s="259" t="s">
        <v>264</v>
      </c>
      <c r="C7" s="3" t="s">
        <v>279</v>
      </c>
      <c r="D7" s="35">
        <v>521.12</v>
      </c>
      <c r="F7" s="35"/>
      <c r="G7" s="269"/>
      <c r="H7" s="269">
        <f t="shared" ref="H7:H8" si="1">(J7-N7)*O7</f>
        <v>31066920.000000007</v>
      </c>
      <c r="I7" s="269">
        <f t="shared" si="0"/>
        <v>172348920</v>
      </c>
      <c r="J7" s="49">
        <v>9574.94</v>
      </c>
      <c r="K7" s="6"/>
      <c r="L7" s="28"/>
      <c r="M7" s="269">
        <f>N7*O7</f>
        <v>141282000</v>
      </c>
      <c r="N7" s="6">
        <v>7849</v>
      </c>
      <c r="O7" s="22">
        <v>18000</v>
      </c>
      <c r="P7" s="6" t="s">
        <v>325</v>
      </c>
      <c r="Q7" s="6" t="s">
        <v>370</v>
      </c>
      <c r="R7" s="63" t="s">
        <v>158</v>
      </c>
      <c r="S7" s="34" t="s">
        <v>323</v>
      </c>
    </row>
    <row r="8" spans="2:19" ht="33" customHeight="1">
      <c r="B8" s="259">
        <v>500</v>
      </c>
      <c r="D8" s="35"/>
      <c r="F8" s="35"/>
      <c r="G8" s="269"/>
      <c r="H8" s="269">
        <f t="shared" si="1"/>
        <v>14786284</v>
      </c>
      <c r="I8" s="269">
        <f t="shared" si="0"/>
        <v>21940884</v>
      </c>
      <c r="J8" s="49">
        <v>1321.74</v>
      </c>
      <c r="K8" s="6"/>
      <c r="L8" s="28"/>
      <c r="M8" s="269">
        <f>N8*O8</f>
        <v>7154600</v>
      </c>
      <c r="N8" s="6">
        <v>431</v>
      </c>
      <c r="O8" s="22">
        <v>16600</v>
      </c>
      <c r="P8" s="6" t="s">
        <v>325</v>
      </c>
      <c r="Q8" s="6" t="s">
        <v>443</v>
      </c>
      <c r="R8" s="63" t="s">
        <v>158</v>
      </c>
      <c r="S8" s="34" t="s">
        <v>442</v>
      </c>
    </row>
    <row r="9" spans="2:19" ht="33" customHeight="1">
      <c r="D9" s="35"/>
      <c r="F9" s="35"/>
      <c r="G9" s="269"/>
      <c r="H9" s="269">
        <f>I9</f>
        <v>1519837</v>
      </c>
      <c r="I9" s="269">
        <f t="shared" si="0"/>
        <v>1519837</v>
      </c>
      <c r="J9" s="49">
        <v>44.57</v>
      </c>
      <c r="K9" s="6"/>
      <c r="L9" s="28"/>
      <c r="M9" s="269">
        <v>0</v>
      </c>
      <c r="N9" s="6">
        <v>0</v>
      </c>
      <c r="O9" s="359">
        <v>34100</v>
      </c>
      <c r="P9" s="6" t="s">
        <v>325</v>
      </c>
      <c r="Q9" s="6" t="s">
        <v>493</v>
      </c>
      <c r="R9" s="63" t="s">
        <v>158</v>
      </c>
      <c r="S9" s="358" t="s">
        <v>492</v>
      </c>
    </row>
    <row r="10" spans="2:19" ht="33" customHeight="1">
      <c r="B10" s="259">
        <v>300</v>
      </c>
      <c r="D10" s="20"/>
      <c r="F10" s="20"/>
      <c r="G10" s="269">
        <f>(N10-J10)*O10</f>
        <v>6342678</v>
      </c>
      <c r="H10" s="269"/>
      <c r="I10" s="269">
        <f t="shared" si="0"/>
        <v>4957722</v>
      </c>
      <c r="J10" s="49">
        <v>113.19</v>
      </c>
      <c r="K10" s="6"/>
      <c r="L10" s="28"/>
      <c r="M10" s="269">
        <f>N10*O10</f>
        <v>11300400</v>
      </c>
      <c r="N10" s="6">
        <v>258</v>
      </c>
      <c r="O10" s="22">
        <v>43800</v>
      </c>
      <c r="P10" s="6" t="s">
        <v>325</v>
      </c>
      <c r="Q10" s="6" t="s">
        <v>326</v>
      </c>
      <c r="R10" s="63" t="s">
        <v>158</v>
      </c>
      <c r="S10" s="358" t="s">
        <v>324</v>
      </c>
    </row>
    <row r="11" spans="2:19" ht="33" customHeight="1">
      <c r="B11" s="259">
        <v>1050</v>
      </c>
      <c r="D11" s="20">
        <v>521.12</v>
      </c>
      <c r="F11" s="20"/>
      <c r="G11" s="269"/>
      <c r="H11" s="269">
        <f>(J11-N11)*O11</f>
        <v>252600000</v>
      </c>
      <c r="I11" s="269">
        <f t="shared" si="0"/>
        <v>383400000</v>
      </c>
      <c r="J11" s="49">
        <v>639</v>
      </c>
      <c r="K11" s="6"/>
      <c r="L11" s="6"/>
      <c r="M11" s="269">
        <f>N11*O11</f>
        <v>130800000</v>
      </c>
      <c r="N11" s="6">
        <v>218</v>
      </c>
      <c r="O11" s="22">
        <v>600000</v>
      </c>
      <c r="P11" s="6" t="s">
        <v>325</v>
      </c>
      <c r="Q11" s="6" t="s">
        <v>445</v>
      </c>
      <c r="R11" s="63" t="s">
        <v>158</v>
      </c>
      <c r="S11" s="34" t="s">
        <v>444</v>
      </c>
    </row>
    <row r="12" spans="2:19" ht="49.5" customHeight="1" thickBot="1">
      <c r="D12" s="116"/>
      <c r="F12" s="116"/>
      <c r="G12" s="337">
        <f>SUM(G6:G11)</f>
        <v>6342678</v>
      </c>
      <c r="H12" s="337">
        <f>SUM(H6:H11)</f>
        <v>311803010</v>
      </c>
      <c r="I12" s="402">
        <f>SUM(I6:I11)</f>
        <v>597674032</v>
      </c>
      <c r="J12" s="402"/>
      <c r="K12" s="400">
        <f>SUM(K7:K11)</f>
        <v>0</v>
      </c>
      <c r="L12" s="400"/>
      <c r="M12" s="400">
        <f>SUM(M6:M11)</f>
        <v>292213700</v>
      </c>
      <c r="N12" s="400"/>
      <c r="O12" s="39"/>
      <c r="P12" s="115"/>
      <c r="Q12" s="115" t="s">
        <v>7</v>
      </c>
      <c r="R12" s="8"/>
      <c r="S12" s="206"/>
    </row>
    <row r="13" spans="2:19" ht="49.5" customHeight="1">
      <c r="D13" s="13"/>
      <c r="F13" s="13"/>
      <c r="G13" s="99"/>
      <c r="H13" s="37"/>
      <c r="I13" s="50">
        <f>M12+H12-G12</f>
        <v>597674032</v>
      </c>
      <c r="J13" s="50"/>
      <c r="K13" s="37"/>
      <c r="L13" s="37"/>
      <c r="M13" s="99"/>
      <c r="N13" s="37"/>
      <c r="O13" s="24"/>
      <c r="P13" s="9"/>
      <c r="Q13" s="9"/>
      <c r="R13" s="9"/>
      <c r="S13" s="208"/>
    </row>
    <row r="14" spans="2:19" ht="23.25" hidden="1" customHeight="1">
      <c r="D14" s="77"/>
      <c r="F14" s="173"/>
      <c r="G14" s="382" t="s">
        <v>300</v>
      </c>
      <c r="H14" s="382"/>
      <c r="I14" s="382" t="s">
        <v>145</v>
      </c>
      <c r="J14" s="382"/>
      <c r="K14" s="78"/>
      <c r="L14" s="78"/>
      <c r="M14" s="199"/>
      <c r="N14" s="78"/>
      <c r="O14" s="79"/>
      <c r="P14" s="78"/>
      <c r="Q14" s="80" t="s">
        <v>171</v>
      </c>
      <c r="R14" s="41"/>
      <c r="S14" s="219"/>
    </row>
    <row r="15" spans="2:19" ht="23.25" hidden="1" customHeight="1">
      <c r="D15" s="81"/>
      <c r="F15" s="174"/>
      <c r="G15" s="96"/>
      <c r="H15" s="82"/>
      <c r="I15" s="83"/>
      <c r="J15" s="143" t="s">
        <v>146</v>
      </c>
      <c r="K15" s="144"/>
      <c r="L15" s="144"/>
      <c r="M15" s="200"/>
      <c r="N15" s="144"/>
      <c r="O15" s="135"/>
      <c r="P15" s="144"/>
      <c r="Q15" s="84" t="s">
        <v>292</v>
      </c>
      <c r="R15" s="56"/>
      <c r="S15" s="175"/>
    </row>
    <row r="16" spans="2:19" ht="23.25" hidden="1" customHeight="1" thickBot="1">
      <c r="D16" s="85"/>
      <c r="F16" s="85"/>
      <c r="G16" s="145"/>
      <c r="H16" s="136"/>
      <c r="I16" s="146"/>
      <c r="J16" s="146"/>
      <c r="K16" s="136"/>
      <c r="L16" s="136"/>
      <c r="M16" s="145" t="s">
        <v>183</v>
      </c>
      <c r="N16" s="136"/>
      <c r="O16" s="136"/>
      <c r="P16" s="136"/>
      <c r="Q16" s="86" t="s">
        <v>184</v>
      </c>
      <c r="R16" s="42"/>
      <c r="S16" s="205"/>
    </row>
    <row r="17" spans="2:20" ht="25.5" hidden="1" customHeight="1">
      <c r="D17" s="385" t="s">
        <v>144</v>
      </c>
      <c r="F17" s="385" t="s">
        <v>144</v>
      </c>
      <c r="G17" s="406" t="s">
        <v>63</v>
      </c>
      <c r="H17" s="406"/>
      <c r="I17" s="409" t="s">
        <v>170</v>
      </c>
      <c r="J17" s="409"/>
      <c r="K17" s="401" t="s">
        <v>2</v>
      </c>
      <c r="L17" s="401"/>
      <c r="M17" s="401" t="s">
        <v>220</v>
      </c>
      <c r="N17" s="401"/>
      <c r="O17" s="426" t="s">
        <v>139</v>
      </c>
      <c r="P17" s="401" t="s">
        <v>1</v>
      </c>
      <c r="Q17" s="401" t="s">
        <v>138</v>
      </c>
      <c r="R17" s="62"/>
      <c r="S17" s="424" t="s">
        <v>0</v>
      </c>
    </row>
    <row r="18" spans="2:20" ht="25.5" hidden="1" customHeight="1">
      <c r="D18" s="386"/>
      <c r="F18" s="386"/>
      <c r="G18" s="97" t="s">
        <v>143</v>
      </c>
      <c r="H18" s="49" t="s">
        <v>142</v>
      </c>
      <c r="I18" s="49" t="s">
        <v>143</v>
      </c>
      <c r="J18" s="49" t="s">
        <v>142</v>
      </c>
      <c r="K18" s="1" t="s">
        <v>4</v>
      </c>
      <c r="L18" s="1" t="s">
        <v>3</v>
      </c>
      <c r="M18" s="100" t="s">
        <v>141</v>
      </c>
      <c r="N18" s="1" t="s">
        <v>140</v>
      </c>
      <c r="O18" s="427"/>
      <c r="P18" s="422"/>
      <c r="Q18" s="422"/>
      <c r="R18" s="2"/>
      <c r="S18" s="425"/>
    </row>
    <row r="19" spans="2:20" ht="30.75" hidden="1" customHeight="1">
      <c r="D19" s="111">
        <v>10848.34</v>
      </c>
      <c r="E19" s="109"/>
      <c r="F19" s="111"/>
      <c r="G19" s="100">
        <f t="shared" ref="G19:G34" si="2">H19*O19</f>
        <v>29289600</v>
      </c>
      <c r="H19" s="1">
        <v>10848</v>
      </c>
      <c r="I19" s="40">
        <f>J19*O19</f>
        <v>-9036900</v>
      </c>
      <c r="J19" s="49">
        <f>H19-N19</f>
        <v>-3347</v>
      </c>
      <c r="K19" s="6"/>
      <c r="L19" s="4"/>
      <c r="M19" s="191">
        <f t="shared" ref="M19:M34" si="3">N19*O19</f>
        <v>38326500</v>
      </c>
      <c r="N19" s="4">
        <v>14195</v>
      </c>
      <c r="O19" s="22">
        <v>2700</v>
      </c>
      <c r="P19" s="6" t="s">
        <v>35</v>
      </c>
      <c r="Q19" s="45" t="s">
        <v>152</v>
      </c>
      <c r="R19" s="63" t="s">
        <v>158</v>
      </c>
      <c r="S19" s="38" t="s">
        <v>71</v>
      </c>
      <c r="T19" s="30"/>
    </row>
    <row r="20" spans="2:20" ht="30.75" hidden="1" customHeight="1">
      <c r="D20" s="110">
        <v>1205.3599999999999</v>
      </c>
      <c r="E20" s="109"/>
      <c r="F20" s="110"/>
      <c r="G20" s="100">
        <f t="shared" si="2"/>
        <v>18195500</v>
      </c>
      <c r="H20" s="1">
        <v>1205</v>
      </c>
      <c r="I20" s="40">
        <f t="shared" ref="I20:I34" si="4">J20*O20</f>
        <v>18195500</v>
      </c>
      <c r="J20" s="49">
        <f t="shared" ref="J20:J33" si="5">H20-N20</f>
        <v>1205</v>
      </c>
      <c r="K20" s="6"/>
      <c r="L20" s="4"/>
      <c r="M20" s="191">
        <f t="shared" si="3"/>
        <v>0</v>
      </c>
      <c r="N20" s="4"/>
      <c r="O20" s="22">
        <v>15100</v>
      </c>
      <c r="P20" s="6" t="s">
        <v>35</v>
      </c>
      <c r="Q20" s="45" t="s">
        <v>73</v>
      </c>
      <c r="R20" s="63" t="s">
        <v>158</v>
      </c>
      <c r="S20" s="38" t="s">
        <v>72</v>
      </c>
      <c r="T20" s="30"/>
    </row>
    <row r="21" spans="2:20" ht="30.75" hidden="1" customHeight="1">
      <c r="B21" s="259">
        <v>1500</v>
      </c>
      <c r="D21" s="110">
        <v>1250</v>
      </c>
      <c r="E21" s="109"/>
      <c r="F21" s="110"/>
      <c r="G21" s="100">
        <f t="shared" si="2"/>
        <v>42900000</v>
      </c>
      <c r="H21" s="1">
        <f>1250+1500</f>
        <v>2750</v>
      </c>
      <c r="I21" s="40">
        <f t="shared" si="4"/>
        <v>42900000</v>
      </c>
      <c r="J21" s="49">
        <f t="shared" si="5"/>
        <v>2750</v>
      </c>
      <c r="K21" s="6"/>
      <c r="L21" s="4"/>
      <c r="M21" s="191">
        <f t="shared" si="3"/>
        <v>0</v>
      </c>
      <c r="N21" s="4"/>
      <c r="O21" s="22">
        <v>15600</v>
      </c>
      <c r="P21" s="6" t="s">
        <v>35</v>
      </c>
      <c r="Q21" s="45" t="s">
        <v>246</v>
      </c>
      <c r="R21" s="63" t="s">
        <v>158</v>
      </c>
      <c r="S21" s="38" t="s">
        <v>245</v>
      </c>
      <c r="T21" s="30"/>
    </row>
    <row r="22" spans="2:20" ht="30.75" hidden="1" customHeight="1">
      <c r="B22" s="259" t="s">
        <v>265</v>
      </c>
      <c r="C22" s="3" t="s">
        <v>281</v>
      </c>
      <c r="D22" s="110">
        <v>942</v>
      </c>
      <c r="E22" s="109"/>
      <c r="F22" s="110"/>
      <c r="G22" s="100">
        <f t="shared" si="2"/>
        <v>10413420</v>
      </c>
      <c r="H22" s="1">
        <f>942+1000*0.4+420</f>
        <v>1762</v>
      </c>
      <c r="I22" s="40">
        <f t="shared" si="4"/>
        <v>2139420</v>
      </c>
      <c r="J22" s="49">
        <f t="shared" si="5"/>
        <v>362</v>
      </c>
      <c r="K22" s="6"/>
      <c r="L22" s="4"/>
      <c r="M22" s="191">
        <f t="shared" si="3"/>
        <v>8274000</v>
      </c>
      <c r="N22" s="4">
        <v>1400</v>
      </c>
      <c r="O22" s="22">
        <v>5910</v>
      </c>
      <c r="P22" s="6" t="s">
        <v>35</v>
      </c>
      <c r="Q22" s="45" t="s">
        <v>75</v>
      </c>
      <c r="R22" s="63" t="s">
        <v>158</v>
      </c>
      <c r="S22" s="38" t="s">
        <v>74</v>
      </c>
      <c r="T22" s="30"/>
    </row>
    <row r="23" spans="2:20" ht="30.75" hidden="1" customHeight="1">
      <c r="B23" s="259" t="s">
        <v>266</v>
      </c>
      <c r="D23" s="110">
        <v>1152.5999999999999</v>
      </c>
      <c r="E23" s="109"/>
      <c r="F23" s="110"/>
      <c r="G23" s="100">
        <f t="shared" si="2"/>
        <v>40759200</v>
      </c>
      <c r="H23" s="1">
        <f>1152+2520</f>
        <v>3672</v>
      </c>
      <c r="I23" s="40">
        <f t="shared" si="4"/>
        <v>40759200</v>
      </c>
      <c r="J23" s="49">
        <f t="shared" si="5"/>
        <v>3672</v>
      </c>
      <c r="K23" s="6"/>
      <c r="L23" s="4"/>
      <c r="M23" s="191"/>
      <c r="N23" s="4"/>
      <c r="O23" s="22">
        <v>11100</v>
      </c>
      <c r="P23" s="6" t="s">
        <v>35</v>
      </c>
      <c r="Q23" s="45" t="s">
        <v>248</v>
      </c>
      <c r="R23" s="63" t="s">
        <v>158</v>
      </c>
      <c r="S23" s="38" t="s">
        <v>247</v>
      </c>
      <c r="T23" s="30"/>
    </row>
    <row r="24" spans="2:20" ht="30.75" hidden="1" customHeight="1">
      <c r="C24" s="3" t="s">
        <v>282</v>
      </c>
      <c r="D24" s="110">
        <v>1017.33</v>
      </c>
      <c r="E24" s="109"/>
      <c r="F24" s="110"/>
      <c r="G24" s="100">
        <f t="shared" si="2"/>
        <v>97239700</v>
      </c>
      <c r="H24" s="1">
        <f>1017+1000*0.5</f>
        <v>1517</v>
      </c>
      <c r="I24" s="40">
        <f t="shared" si="4"/>
        <v>-5320300</v>
      </c>
      <c r="J24" s="49">
        <f t="shared" si="5"/>
        <v>-83</v>
      </c>
      <c r="K24" s="6"/>
      <c r="L24" s="4"/>
      <c r="M24" s="191">
        <f t="shared" si="3"/>
        <v>102560000</v>
      </c>
      <c r="N24" s="4">
        <v>1600</v>
      </c>
      <c r="O24" s="22">
        <v>64100</v>
      </c>
      <c r="P24" s="6" t="s">
        <v>35</v>
      </c>
      <c r="Q24" s="45" t="s">
        <v>77</v>
      </c>
      <c r="R24" s="63" t="s">
        <v>158</v>
      </c>
      <c r="S24" s="38" t="s">
        <v>76</v>
      </c>
      <c r="T24" s="30"/>
    </row>
    <row r="25" spans="2:20" ht="30.75" hidden="1" customHeight="1">
      <c r="B25" s="259">
        <v>800</v>
      </c>
      <c r="D25" s="110"/>
      <c r="E25" s="109"/>
      <c r="F25" s="110"/>
      <c r="G25" s="100">
        <f t="shared" si="2"/>
        <v>740000</v>
      </c>
      <c r="H25" s="1">
        <v>800</v>
      </c>
      <c r="I25" s="40">
        <f t="shared" si="4"/>
        <v>740000</v>
      </c>
      <c r="J25" s="49">
        <f t="shared" si="5"/>
        <v>800</v>
      </c>
      <c r="K25" s="6"/>
      <c r="L25" s="4"/>
      <c r="M25" s="191">
        <f t="shared" si="3"/>
        <v>0</v>
      </c>
      <c r="N25" s="4"/>
      <c r="O25" s="22">
        <v>925</v>
      </c>
      <c r="P25" s="6" t="s">
        <v>35</v>
      </c>
      <c r="Q25" s="45" t="s">
        <v>80</v>
      </c>
      <c r="R25" s="63" t="s">
        <v>158</v>
      </c>
      <c r="S25" s="38" t="s">
        <v>78</v>
      </c>
      <c r="T25" s="30"/>
    </row>
    <row r="26" spans="2:20" ht="30.75" hidden="1" customHeight="1">
      <c r="D26" s="110"/>
      <c r="E26" s="109"/>
      <c r="F26" s="110"/>
      <c r="G26" s="100">
        <f t="shared" si="2"/>
        <v>2280000</v>
      </c>
      <c r="H26" s="1">
        <v>300</v>
      </c>
      <c r="I26" s="40">
        <f t="shared" si="4"/>
        <v>2280000</v>
      </c>
      <c r="J26" s="49">
        <f t="shared" si="5"/>
        <v>300</v>
      </c>
      <c r="K26" s="6"/>
      <c r="L26" s="4"/>
      <c r="M26" s="191">
        <f t="shared" si="3"/>
        <v>0</v>
      </c>
      <c r="N26" s="4"/>
      <c r="O26" s="22">
        <v>7600</v>
      </c>
      <c r="P26" s="6" t="s">
        <v>35</v>
      </c>
      <c r="Q26" s="45" t="s">
        <v>81</v>
      </c>
      <c r="R26" s="63" t="s">
        <v>158</v>
      </c>
      <c r="S26" s="38" t="s">
        <v>79</v>
      </c>
      <c r="T26" s="30"/>
    </row>
    <row r="27" spans="2:20" ht="30.75" hidden="1" customHeight="1">
      <c r="B27" s="259">
        <v>4200</v>
      </c>
      <c r="C27" s="3">
        <v>1000</v>
      </c>
      <c r="D27" s="110">
        <v>16823.82</v>
      </c>
      <c r="E27" s="109"/>
      <c r="F27" s="110"/>
      <c r="G27" s="100">
        <f t="shared" si="2"/>
        <v>66509460</v>
      </c>
      <c r="H27" s="203">
        <f>16823+1000+4200</f>
        <v>22023</v>
      </c>
      <c r="I27" s="40">
        <f t="shared" si="4"/>
        <v>57449460</v>
      </c>
      <c r="J27" s="49">
        <f t="shared" si="5"/>
        <v>19023</v>
      </c>
      <c r="K27" s="6"/>
      <c r="L27" s="4"/>
      <c r="M27" s="191">
        <f t="shared" si="3"/>
        <v>9060000</v>
      </c>
      <c r="N27" s="4">
        <v>3000</v>
      </c>
      <c r="O27" s="22">
        <v>3020</v>
      </c>
      <c r="P27" s="6" t="s">
        <v>35</v>
      </c>
      <c r="Q27" s="46" t="s">
        <v>41</v>
      </c>
      <c r="R27" s="63" t="s">
        <v>158</v>
      </c>
      <c r="S27" s="31" t="s">
        <v>37</v>
      </c>
      <c r="T27" s="29"/>
    </row>
    <row r="28" spans="2:20" ht="30.75" hidden="1" customHeight="1">
      <c r="B28" s="259" t="s">
        <v>267</v>
      </c>
      <c r="C28" s="3" t="s">
        <v>283</v>
      </c>
      <c r="D28" s="110">
        <v>67702.559999999998</v>
      </c>
      <c r="E28" s="109"/>
      <c r="F28" s="110"/>
      <c r="G28" s="100">
        <f t="shared" si="2"/>
        <v>23453030</v>
      </c>
      <c r="H28" s="1">
        <f>67702+4*1000+4200*4</f>
        <v>88502</v>
      </c>
      <c r="I28" s="40">
        <f t="shared" si="4"/>
        <v>20273030</v>
      </c>
      <c r="J28" s="49">
        <f t="shared" si="5"/>
        <v>76502</v>
      </c>
      <c r="K28" s="6"/>
      <c r="L28" s="4"/>
      <c r="M28" s="191">
        <f t="shared" si="3"/>
        <v>3180000</v>
      </c>
      <c r="N28" s="4">
        <v>12000</v>
      </c>
      <c r="O28" s="22">
        <v>265</v>
      </c>
      <c r="P28" s="6" t="s">
        <v>35</v>
      </c>
      <c r="Q28" s="46" t="s">
        <v>42</v>
      </c>
      <c r="R28" s="63" t="s">
        <v>158</v>
      </c>
      <c r="S28" s="31" t="s">
        <v>38</v>
      </c>
      <c r="T28" s="29"/>
    </row>
    <row r="29" spans="2:20" ht="30.75" hidden="1" customHeight="1">
      <c r="B29" s="259" t="s">
        <v>268</v>
      </c>
      <c r="C29" s="3" t="s">
        <v>284</v>
      </c>
      <c r="D29" s="110">
        <v>161360.4</v>
      </c>
      <c r="E29" s="109"/>
      <c r="F29" s="110"/>
      <c r="G29" s="100">
        <f t="shared" si="2"/>
        <v>183612800</v>
      </c>
      <c r="H29" s="1">
        <f>161360+5*1000+4200*5</f>
        <v>187360</v>
      </c>
      <c r="I29" s="40">
        <f t="shared" si="4"/>
        <v>4466840</v>
      </c>
      <c r="J29" s="49">
        <f t="shared" si="5"/>
        <v>4558</v>
      </c>
      <c r="K29" s="6"/>
      <c r="L29" s="4"/>
      <c r="M29" s="191">
        <f t="shared" si="3"/>
        <v>179145960</v>
      </c>
      <c r="N29" s="4">
        <v>182802</v>
      </c>
      <c r="O29" s="22">
        <v>980</v>
      </c>
      <c r="P29" s="6" t="s">
        <v>44</v>
      </c>
      <c r="Q29" s="46" t="s">
        <v>222</v>
      </c>
      <c r="R29" s="63" t="s">
        <v>158</v>
      </c>
      <c r="S29" s="31" t="s">
        <v>39</v>
      </c>
      <c r="T29" s="29"/>
    </row>
    <row r="30" spans="2:20" ht="30.75" hidden="1" customHeight="1">
      <c r="D30" s="110">
        <v>103500</v>
      </c>
      <c r="E30" s="109"/>
      <c r="F30" s="110"/>
      <c r="G30" s="100">
        <f t="shared" si="2"/>
        <v>92632500</v>
      </c>
      <c r="H30" s="1">
        <v>103500</v>
      </c>
      <c r="I30" s="40">
        <f t="shared" si="4"/>
        <v>-10292500</v>
      </c>
      <c r="J30" s="49">
        <f t="shared" si="5"/>
        <v>-11500</v>
      </c>
      <c r="K30" s="6"/>
      <c r="L30" s="4"/>
      <c r="M30" s="191">
        <f t="shared" si="3"/>
        <v>102925000</v>
      </c>
      <c r="N30" s="4">
        <v>115000</v>
      </c>
      <c r="O30" s="22">
        <v>895</v>
      </c>
      <c r="P30" s="6" t="s">
        <v>44</v>
      </c>
      <c r="Q30" s="46" t="s">
        <v>223</v>
      </c>
      <c r="R30" s="63" t="s">
        <v>158</v>
      </c>
      <c r="S30" s="31" t="s">
        <v>221</v>
      </c>
      <c r="T30" s="29"/>
    </row>
    <row r="31" spans="2:20" ht="30.75" hidden="1" customHeight="1">
      <c r="B31" s="259" t="s">
        <v>269</v>
      </c>
      <c r="C31" s="3" t="s">
        <v>285</v>
      </c>
      <c r="D31" s="110">
        <v>8037.38</v>
      </c>
      <c r="E31" s="109"/>
      <c r="F31" s="110"/>
      <c r="G31" s="100">
        <f t="shared" si="2"/>
        <v>14662800</v>
      </c>
      <c r="H31" s="1">
        <f>8037+780*0.5*5+2232</f>
        <v>12219</v>
      </c>
      <c r="I31" s="40">
        <f t="shared" si="4"/>
        <v>14662800</v>
      </c>
      <c r="J31" s="49">
        <f t="shared" si="5"/>
        <v>12219</v>
      </c>
      <c r="K31" s="6"/>
      <c r="L31" s="4"/>
      <c r="M31" s="191">
        <f t="shared" si="3"/>
        <v>0</v>
      </c>
      <c r="N31" s="4"/>
      <c r="O31" s="105">
        <v>1200</v>
      </c>
      <c r="P31" s="10" t="s">
        <v>44</v>
      </c>
      <c r="Q31" s="47" t="s">
        <v>43</v>
      </c>
      <c r="R31" s="63" t="s">
        <v>158</v>
      </c>
      <c r="S31" s="31" t="s">
        <v>40</v>
      </c>
      <c r="T31" s="29"/>
    </row>
    <row r="32" spans="2:20" ht="30.75" hidden="1" customHeight="1">
      <c r="D32" s="110">
        <v>23833.7</v>
      </c>
      <c r="E32" s="109"/>
      <c r="F32" s="110"/>
      <c r="G32" s="100">
        <f t="shared" si="2"/>
        <v>412300000</v>
      </c>
      <c r="H32" s="1">
        <f>H34+H132</f>
        <v>11780</v>
      </c>
      <c r="I32" s="40">
        <f t="shared" si="4"/>
        <v>-791420000</v>
      </c>
      <c r="J32" s="49">
        <f t="shared" si="5"/>
        <v>-22612</v>
      </c>
      <c r="K32" s="6"/>
      <c r="L32" s="4"/>
      <c r="M32" s="192">
        <f t="shared" si="3"/>
        <v>1203720000</v>
      </c>
      <c r="N32" s="4">
        <v>34392</v>
      </c>
      <c r="O32" s="105">
        <v>35000</v>
      </c>
      <c r="P32" s="6" t="s">
        <v>35</v>
      </c>
      <c r="Q32" s="48" t="s">
        <v>225</v>
      </c>
      <c r="R32" s="63" t="s">
        <v>158</v>
      </c>
      <c r="S32" s="31" t="s">
        <v>224</v>
      </c>
      <c r="T32" s="29"/>
    </row>
    <row r="33" spans="2:20" ht="30.75" hidden="1" customHeight="1">
      <c r="D33" s="112"/>
      <c r="E33" s="109"/>
      <c r="F33" s="112"/>
      <c r="G33" s="100">
        <f t="shared" si="2"/>
        <v>2060000</v>
      </c>
      <c r="H33" s="1">
        <v>4000</v>
      </c>
      <c r="I33" s="40">
        <f t="shared" si="4"/>
        <v>2060000</v>
      </c>
      <c r="J33" s="49">
        <f t="shared" si="5"/>
        <v>4000</v>
      </c>
      <c r="K33" s="6"/>
      <c r="L33" s="4"/>
      <c r="M33" s="191">
        <f t="shared" si="3"/>
        <v>0</v>
      </c>
      <c r="N33" s="4"/>
      <c r="O33" s="105">
        <v>515</v>
      </c>
      <c r="P33" s="6" t="s">
        <v>35</v>
      </c>
      <c r="Q33" s="48" t="s">
        <v>154</v>
      </c>
      <c r="R33" s="63" t="s">
        <v>158</v>
      </c>
      <c r="S33" s="31" t="s">
        <v>153</v>
      </c>
      <c r="T33" s="29"/>
    </row>
    <row r="34" spans="2:20" ht="30.75" hidden="1" customHeight="1">
      <c r="D34" s="122">
        <v>4500</v>
      </c>
      <c r="E34" s="109"/>
      <c r="F34" s="122"/>
      <c r="G34" s="100">
        <f t="shared" si="2"/>
        <v>306000000</v>
      </c>
      <c r="H34" s="224">
        <v>4500</v>
      </c>
      <c r="I34" s="40">
        <f t="shared" si="4"/>
        <v>-34000000</v>
      </c>
      <c r="J34" s="49">
        <f>H34-N34</f>
        <v>-500</v>
      </c>
      <c r="K34" s="7"/>
      <c r="L34" s="59"/>
      <c r="M34" s="191">
        <f t="shared" si="3"/>
        <v>340000000</v>
      </c>
      <c r="N34" s="59">
        <v>5000</v>
      </c>
      <c r="O34" s="225">
        <v>68000</v>
      </c>
      <c r="P34" s="6" t="s">
        <v>35</v>
      </c>
      <c r="Q34" s="226" t="s">
        <v>227</v>
      </c>
      <c r="R34" s="63" t="s">
        <v>158</v>
      </c>
      <c r="S34" s="227" t="s">
        <v>226</v>
      </c>
      <c r="T34" s="29"/>
    </row>
    <row r="35" spans="2:20" ht="34.5" hidden="1" customHeight="1" thickBot="1">
      <c r="D35" s="118"/>
      <c r="E35" s="109"/>
      <c r="F35" s="118"/>
      <c r="G35" s="397">
        <f>SUM(G19:G34)</f>
        <v>1343048010</v>
      </c>
      <c r="H35" s="398"/>
      <c r="I35" s="402">
        <f>SUM(I19:I34)</f>
        <v>-644143450</v>
      </c>
      <c r="J35" s="402"/>
      <c r="K35" s="400">
        <f>SUM(K19:K33)</f>
        <v>0</v>
      </c>
      <c r="L35" s="400"/>
      <c r="M35" s="400">
        <f>SUM(M19:M34)</f>
        <v>1987191460</v>
      </c>
      <c r="N35" s="400"/>
      <c r="O35" s="119"/>
      <c r="P35" s="117"/>
      <c r="Q35" s="114" t="s">
        <v>5</v>
      </c>
      <c r="R35" s="8" t="s">
        <v>158</v>
      </c>
      <c r="S35" s="209"/>
      <c r="T35" s="29"/>
    </row>
    <row r="36" spans="2:20" ht="49.5" hidden="1" customHeight="1" thickBot="1">
      <c r="D36" s="13"/>
      <c r="F36" s="13"/>
      <c r="G36" s="101"/>
      <c r="H36" s="44"/>
      <c r="I36" s="51"/>
      <c r="J36" s="51"/>
      <c r="K36" s="44"/>
      <c r="L36" s="44"/>
      <c r="M36" s="101"/>
      <c r="N36" s="44"/>
      <c r="O36" s="106"/>
      <c r="P36" s="44"/>
      <c r="Q36" s="19"/>
      <c r="R36" s="70"/>
      <c r="S36" s="210"/>
      <c r="T36" s="29"/>
    </row>
    <row r="37" spans="2:20" ht="23.25" hidden="1" customHeight="1">
      <c r="D37" s="173"/>
      <c r="F37" s="173"/>
      <c r="G37" s="382" t="s">
        <v>300</v>
      </c>
      <c r="H37" s="382"/>
      <c r="I37" s="382" t="s">
        <v>145</v>
      </c>
      <c r="J37" s="382"/>
      <c r="K37" s="78"/>
      <c r="L37" s="78"/>
      <c r="M37" s="199"/>
      <c r="N37" s="78"/>
      <c r="O37" s="79"/>
      <c r="P37" s="78"/>
      <c r="Q37" s="80" t="s">
        <v>171</v>
      </c>
      <c r="R37" s="41"/>
      <c r="S37" s="219"/>
    </row>
    <row r="38" spans="2:20" ht="23.25" hidden="1" customHeight="1">
      <c r="D38" s="174"/>
      <c r="F38" s="174"/>
      <c r="G38" s="96"/>
      <c r="H38" s="82"/>
      <c r="I38" s="83"/>
      <c r="J38" s="143" t="s">
        <v>146</v>
      </c>
      <c r="K38" s="144"/>
      <c r="L38" s="144"/>
      <c r="M38" s="200"/>
      <c r="N38" s="144"/>
      <c r="O38" s="135"/>
      <c r="P38" s="144"/>
      <c r="Q38" s="84" t="s">
        <v>292</v>
      </c>
      <c r="R38" s="56"/>
      <c r="S38" s="175"/>
    </row>
    <row r="39" spans="2:20" ht="25.5" hidden="1" customHeight="1" thickBot="1">
      <c r="D39" s="176"/>
      <c r="F39" s="176"/>
      <c r="G39" s="145"/>
      <c r="H39" s="136"/>
      <c r="I39" s="146"/>
      <c r="J39" s="146"/>
      <c r="K39" s="136"/>
      <c r="L39" s="136"/>
      <c r="M39" s="145" t="s">
        <v>183</v>
      </c>
      <c r="N39" s="136"/>
      <c r="O39" s="136"/>
      <c r="P39" s="136"/>
      <c r="Q39" s="86" t="s">
        <v>185</v>
      </c>
      <c r="R39" s="42"/>
      <c r="S39" s="220"/>
    </row>
    <row r="40" spans="2:20" ht="25.5" hidden="1" customHeight="1">
      <c r="C40" s="3" t="s">
        <v>288</v>
      </c>
      <c r="D40" s="249">
        <v>462.4</v>
      </c>
      <c r="F40" s="249"/>
      <c r="G40" s="250">
        <f>H40*O40</f>
        <v>44737000</v>
      </c>
      <c r="H40" s="251">
        <f>462+100*7</f>
        <v>1162</v>
      </c>
      <c r="I40" s="40">
        <f>J40*O40</f>
        <v>42427000</v>
      </c>
      <c r="J40" s="268">
        <f>H40-N40</f>
        <v>1102</v>
      </c>
      <c r="K40" s="251"/>
      <c r="L40" s="251"/>
      <c r="M40" s="252">
        <f>N40*O40</f>
        <v>2310000</v>
      </c>
      <c r="N40" s="253">
        <v>60</v>
      </c>
      <c r="O40" s="254">
        <v>38500</v>
      </c>
      <c r="P40" s="255" t="s">
        <v>187</v>
      </c>
      <c r="Q40" s="256" t="s">
        <v>229</v>
      </c>
      <c r="R40" s="257"/>
      <c r="S40" s="258" t="s">
        <v>228</v>
      </c>
    </row>
    <row r="41" spans="2:20" ht="30.75" hidden="1" customHeight="1">
      <c r="B41" s="259">
        <v>1099</v>
      </c>
      <c r="D41" s="228">
        <v>900</v>
      </c>
      <c r="E41" s="109"/>
      <c r="F41" s="228"/>
      <c r="G41" s="100">
        <f t="shared" ref="G41:G54" si="6">H41*O41</f>
        <v>184307800</v>
      </c>
      <c r="H41" s="1">
        <f>900+1099</f>
        <v>1999</v>
      </c>
      <c r="I41" s="40">
        <f t="shared" ref="I41:I54" si="7">J41*O41</f>
        <v>168910400</v>
      </c>
      <c r="J41" s="49">
        <f t="shared" ref="J41:J54" si="8">H41-N41</f>
        <v>1832</v>
      </c>
      <c r="K41" s="1"/>
      <c r="L41" s="1"/>
      <c r="M41" s="242">
        <f t="shared" ref="M41:M54" si="9">N41*O41</f>
        <v>15397400</v>
      </c>
      <c r="N41" s="231">
        <v>167</v>
      </c>
      <c r="O41" s="232">
        <v>92200</v>
      </c>
      <c r="P41" s="229" t="s">
        <v>187</v>
      </c>
      <c r="Q41" s="230" t="s">
        <v>186</v>
      </c>
      <c r="R41" s="63"/>
      <c r="S41" s="34" t="s">
        <v>230</v>
      </c>
    </row>
    <row r="42" spans="2:20" ht="30.75" hidden="1" customHeight="1">
      <c r="D42" s="111"/>
      <c r="E42" s="109"/>
      <c r="F42" s="111"/>
      <c r="G42" s="100">
        <f t="shared" si="6"/>
        <v>0</v>
      </c>
      <c r="H42" s="1"/>
      <c r="I42" s="40">
        <f t="shared" si="7"/>
        <v>0</v>
      </c>
      <c r="J42" s="49">
        <f t="shared" si="8"/>
        <v>0</v>
      </c>
      <c r="K42" s="4"/>
      <c r="L42" s="4"/>
      <c r="M42" s="242">
        <f t="shared" si="9"/>
        <v>0</v>
      </c>
      <c r="N42" s="231"/>
      <c r="O42" s="233">
        <v>104000</v>
      </c>
      <c r="P42" s="152" t="s">
        <v>187</v>
      </c>
      <c r="Q42" s="123" t="s">
        <v>188</v>
      </c>
      <c r="R42" s="63" t="s">
        <v>158</v>
      </c>
      <c r="S42" s="38" t="s">
        <v>83</v>
      </c>
    </row>
    <row r="43" spans="2:20" ht="30.75" hidden="1" customHeight="1">
      <c r="D43" s="111"/>
      <c r="E43" s="109"/>
      <c r="F43" s="111"/>
      <c r="G43" s="100">
        <f t="shared" si="6"/>
        <v>0</v>
      </c>
      <c r="H43" s="1"/>
      <c r="I43" s="40">
        <f t="shared" si="7"/>
        <v>0</v>
      </c>
      <c r="J43" s="49">
        <f t="shared" si="8"/>
        <v>0</v>
      </c>
      <c r="K43" s="4"/>
      <c r="L43" s="4"/>
      <c r="M43" s="242">
        <f t="shared" si="9"/>
        <v>0</v>
      </c>
      <c r="N43" s="231"/>
      <c r="O43" s="234">
        <v>259500</v>
      </c>
      <c r="P43" s="153" t="s">
        <v>187</v>
      </c>
      <c r="Q43" s="124" t="s">
        <v>189</v>
      </c>
      <c r="R43" s="63" t="s">
        <v>158</v>
      </c>
      <c r="S43" s="38" t="s">
        <v>180</v>
      </c>
    </row>
    <row r="44" spans="2:20" ht="30.75" hidden="1" customHeight="1">
      <c r="B44" s="259">
        <v>2000</v>
      </c>
      <c r="D44" s="111">
        <v>1897.39</v>
      </c>
      <c r="E44" s="109"/>
      <c r="F44" s="111"/>
      <c r="G44" s="100">
        <f t="shared" si="6"/>
        <v>1077511000</v>
      </c>
      <c r="H44" s="1">
        <f>1897+2200</f>
        <v>4097</v>
      </c>
      <c r="I44" s="40">
        <f t="shared" si="7"/>
        <v>827398000</v>
      </c>
      <c r="J44" s="49">
        <f t="shared" si="8"/>
        <v>3146</v>
      </c>
      <c r="K44" s="4"/>
      <c r="L44" s="4"/>
      <c r="M44" s="242">
        <f t="shared" si="9"/>
        <v>250113000</v>
      </c>
      <c r="N44" s="231">
        <v>951</v>
      </c>
      <c r="O44" s="235">
        <v>263000</v>
      </c>
      <c r="P44" s="154" t="s">
        <v>187</v>
      </c>
      <c r="Q44" s="125" t="s">
        <v>190</v>
      </c>
      <c r="R44" s="63" t="s">
        <v>158</v>
      </c>
      <c r="S44" s="38" t="s">
        <v>172</v>
      </c>
    </row>
    <row r="45" spans="2:20" ht="30.75" hidden="1" customHeight="1">
      <c r="B45" s="259">
        <v>2000</v>
      </c>
      <c r="D45" s="111">
        <v>1860.03</v>
      </c>
      <c r="E45" s="109"/>
      <c r="F45" s="111"/>
      <c r="G45" s="100">
        <f t="shared" si="6"/>
        <v>220458000</v>
      </c>
      <c r="H45" s="1">
        <f>1860+2200</f>
        <v>4060</v>
      </c>
      <c r="I45" s="40">
        <f t="shared" si="7"/>
        <v>168818700</v>
      </c>
      <c r="J45" s="49">
        <f t="shared" si="8"/>
        <v>3109</v>
      </c>
      <c r="K45" s="4"/>
      <c r="L45" s="4"/>
      <c r="M45" s="242">
        <f t="shared" si="9"/>
        <v>51639300</v>
      </c>
      <c r="N45" s="231">
        <v>951</v>
      </c>
      <c r="O45" s="236">
        <v>54300</v>
      </c>
      <c r="P45" s="155" t="s">
        <v>187</v>
      </c>
      <c r="Q45" s="126" t="s">
        <v>191</v>
      </c>
      <c r="R45" s="63" t="s">
        <v>158</v>
      </c>
      <c r="S45" s="38" t="s">
        <v>173</v>
      </c>
    </row>
    <row r="46" spans="2:20" ht="30.75" hidden="1" customHeight="1">
      <c r="B46" s="259">
        <v>1400</v>
      </c>
      <c r="D46" s="111">
        <v>1964.98</v>
      </c>
      <c r="E46" s="109"/>
      <c r="F46" s="111"/>
      <c r="G46" s="100">
        <f t="shared" si="6"/>
        <v>225388000</v>
      </c>
      <c r="H46" s="1">
        <f>1964+1400</f>
        <v>3364</v>
      </c>
      <c r="I46" s="40">
        <f t="shared" si="7"/>
        <v>134469000</v>
      </c>
      <c r="J46" s="49">
        <f t="shared" si="8"/>
        <v>2007</v>
      </c>
      <c r="K46" s="4"/>
      <c r="L46" s="4"/>
      <c r="M46" s="242">
        <f t="shared" si="9"/>
        <v>90919000</v>
      </c>
      <c r="N46" s="231">
        <v>1357</v>
      </c>
      <c r="O46" s="237">
        <v>67000</v>
      </c>
      <c r="P46" s="156" t="s">
        <v>82</v>
      </c>
      <c r="Q46" s="127" t="s">
        <v>215</v>
      </c>
      <c r="R46" s="63" t="s">
        <v>158</v>
      </c>
      <c r="S46" s="38" t="s">
        <v>214</v>
      </c>
    </row>
    <row r="47" spans="2:20" ht="30.75" hidden="1" customHeight="1">
      <c r="D47" s="111"/>
      <c r="E47" s="109"/>
      <c r="F47" s="111"/>
      <c r="G47" s="100">
        <f t="shared" si="6"/>
        <v>0</v>
      </c>
      <c r="H47" s="1"/>
      <c r="I47" s="40">
        <f t="shared" si="7"/>
        <v>0</v>
      </c>
      <c r="J47" s="49">
        <f t="shared" si="8"/>
        <v>0</v>
      </c>
      <c r="K47" s="4"/>
      <c r="L47" s="4"/>
      <c r="M47" s="242">
        <f t="shared" si="9"/>
        <v>0</v>
      </c>
      <c r="N47" s="231"/>
      <c r="O47" s="238">
        <v>24300</v>
      </c>
      <c r="P47" s="157" t="s">
        <v>187</v>
      </c>
      <c r="Q47" s="128" t="s">
        <v>192</v>
      </c>
      <c r="R47" s="63" t="s">
        <v>158</v>
      </c>
      <c r="S47" s="38" t="s">
        <v>174</v>
      </c>
    </row>
    <row r="48" spans="2:20" ht="30.75" hidden="1" customHeight="1">
      <c r="D48" s="111"/>
      <c r="E48" s="109"/>
      <c r="F48" s="111"/>
      <c r="G48" s="100">
        <f t="shared" si="6"/>
        <v>0</v>
      </c>
      <c r="H48" s="1"/>
      <c r="I48" s="40">
        <f t="shared" si="7"/>
        <v>0</v>
      </c>
      <c r="J48" s="49">
        <f t="shared" si="8"/>
        <v>0</v>
      </c>
      <c r="K48" s="4"/>
      <c r="L48" s="4"/>
      <c r="M48" s="242">
        <f t="shared" si="9"/>
        <v>0</v>
      </c>
      <c r="N48" s="231"/>
      <c r="O48" s="238">
        <v>664000</v>
      </c>
      <c r="P48" s="157" t="s">
        <v>187</v>
      </c>
      <c r="Q48" s="128" t="s">
        <v>261</v>
      </c>
      <c r="R48" s="63" t="s">
        <v>158</v>
      </c>
      <c r="S48" s="38" t="s">
        <v>260</v>
      </c>
    </row>
    <row r="49" spans="2:20" ht="30.75" hidden="1" customHeight="1">
      <c r="B49" s="259">
        <v>70</v>
      </c>
      <c r="D49" s="111"/>
      <c r="E49" s="109"/>
      <c r="F49" s="111"/>
      <c r="G49" s="100">
        <f t="shared" si="6"/>
        <v>2394000</v>
      </c>
      <c r="H49" s="1">
        <v>70</v>
      </c>
      <c r="I49" s="40">
        <f t="shared" si="7"/>
        <v>2394000</v>
      </c>
      <c r="J49" s="49">
        <f t="shared" si="8"/>
        <v>70</v>
      </c>
      <c r="K49" s="4"/>
      <c r="L49" s="4"/>
      <c r="M49" s="242">
        <f t="shared" si="9"/>
        <v>0</v>
      </c>
      <c r="N49" s="231"/>
      <c r="O49" s="238">
        <v>34200</v>
      </c>
      <c r="P49" s="157" t="s">
        <v>187</v>
      </c>
      <c r="Q49" s="262" t="s">
        <v>259</v>
      </c>
      <c r="R49" s="63" t="s">
        <v>158</v>
      </c>
      <c r="S49" s="38" t="s">
        <v>258</v>
      </c>
    </row>
    <row r="50" spans="2:20" ht="30.75" hidden="1" customHeight="1">
      <c r="D50" s="111">
        <v>328.27</v>
      </c>
      <c r="E50" s="109"/>
      <c r="F50" s="111"/>
      <c r="G50" s="100">
        <f t="shared" si="6"/>
        <v>9118400</v>
      </c>
      <c r="H50" s="1">
        <f>328</f>
        <v>328</v>
      </c>
      <c r="I50" s="40">
        <f t="shared" si="7"/>
        <v>3558400</v>
      </c>
      <c r="J50" s="49">
        <f t="shared" si="8"/>
        <v>128</v>
      </c>
      <c r="K50" s="4"/>
      <c r="L50" s="4"/>
      <c r="M50" s="242">
        <f t="shared" si="9"/>
        <v>5560000</v>
      </c>
      <c r="N50" s="231">
        <v>200</v>
      </c>
      <c r="O50" s="239">
        <v>27800</v>
      </c>
      <c r="P50" s="157" t="s">
        <v>187</v>
      </c>
      <c r="Q50" s="129" t="s">
        <v>194</v>
      </c>
      <c r="R50" s="63" t="s">
        <v>158</v>
      </c>
      <c r="S50" s="38" t="s">
        <v>175</v>
      </c>
    </row>
    <row r="51" spans="2:20" ht="30.75" hidden="1" customHeight="1">
      <c r="D51" s="111">
        <v>964.17</v>
      </c>
      <c r="E51" s="109"/>
      <c r="F51" s="111"/>
      <c r="G51" s="100">
        <f t="shared" si="6"/>
        <v>29787600</v>
      </c>
      <c r="H51" s="1">
        <v>964</v>
      </c>
      <c r="I51" s="40">
        <f t="shared" si="7"/>
        <v>2163000</v>
      </c>
      <c r="J51" s="49">
        <f t="shared" si="8"/>
        <v>70</v>
      </c>
      <c r="K51" s="4"/>
      <c r="L51" s="4"/>
      <c r="M51" s="242">
        <f t="shared" si="9"/>
        <v>27624600</v>
      </c>
      <c r="N51" s="231">
        <v>894</v>
      </c>
      <c r="O51" s="240">
        <v>30900</v>
      </c>
      <c r="P51" s="158" t="s">
        <v>82</v>
      </c>
      <c r="Q51" s="130" t="s">
        <v>193</v>
      </c>
      <c r="R51" s="63" t="s">
        <v>158</v>
      </c>
      <c r="S51" s="38" t="s">
        <v>176</v>
      </c>
    </row>
    <row r="52" spans="2:20" ht="30.75" hidden="1" customHeight="1">
      <c r="B52" s="259" t="s">
        <v>293</v>
      </c>
      <c r="C52" s="3" t="s">
        <v>289</v>
      </c>
      <c r="D52" s="110">
        <v>27261</v>
      </c>
      <c r="E52" s="109"/>
      <c r="F52" s="110"/>
      <c r="G52" s="100">
        <f t="shared" si="6"/>
        <v>55821780</v>
      </c>
      <c r="H52" s="1">
        <f>27261+700*9+2000*9*1.3</f>
        <v>56961</v>
      </c>
      <c r="I52" s="40">
        <f t="shared" si="7"/>
        <v>44388120</v>
      </c>
      <c r="J52" s="49">
        <f t="shared" si="8"/>
        <v>45294</v>
      </c>
      <c r="K52" s="4"/>
      <c r="L52" s="4"/>
      <c r="M52" s="242">
        <f t="shared" si="9"/>
        <v>11433660</v>
      </c>
      <c r="N52" s="231">
        <v>11667</v>
      </c>
      <c r="O52" s="241">
        <v>980</v>
      </c>
      <c r="P52" s="6" t="s">
        <v>44</v>
      </c>
      <c r="Q52" s="45" t="s">
        <v>84</v>
      </c>
      <c r="R52" s="63" t="s">
        <v>158</v>
      </c>
      <c r="S52" s="38" t="s">
        <v>85</v>
      </c>
    </row>
    <row r="53" spans="2:20" ht="30.75" hidden="1" customHeight="1">
      <c r="B53" s="259" t="s">
        <v>294</v>
      </c>
      <c r="C53" s="3" t="s">
        <v>290</v>
      </c>
      <c r="D53" s="110">
        <v>76580.14</v>
      </c>
      <c r="E53" s="109"/>
      <c r="F53" s="110"/>
      <c r="G53" s="100">
        <f t="shared" si="6"/>
        <v>127609100</v>
      </c>
      <c r="H53" s="1">
        <f>76580+700*20+2000*20*1.3</f>
        <v>142580</v>
      </c>
      <c r="I53" s="40">
        <f t="shared" si="7"/>
        <v>104405330</v>
      </c>
      <c r="J53" s="49">
        <f t="shared" si="8"/>
        <v>116654</v>
      </c>
      <c r="K53" s="4"/>
      <c r="L53" s="4"/>
      <c r="M53" s="242">
        <f t="shared" si="9"/>
        <v>23203770</v>
      </c>
      <c r="N53" s="231">
        <v>25926</v>
      </c>
      <c r="O53" s="241">
        <v>895</v>
      </c>
      <c r="P53" s="6" t="s">
        <v>44</v>
      </c>
      <c r="Q53" s="45" t="s">
        <v>181</v>
      </c>
      <c r="R53" s="63" t="s">
        <v>158</v>
      </c>
      <c r="S53" s="38" t="s">
        <v>128</v>
      </c>
    </row>
    <row r="54" spans="2:20" ht="30.75" hidden="1" customHeight="1">
      <c r="B54" s="259" t="s">
        <v>295</v>
      </c>
      <c r="D54" s="122">
        <v>53865.71</v>
      </c>
      <c r="E54" s="109"/>
      <c r="F54" s="122"/>
      <c r="G54" s="100">
        <f t="shared" si="6"/>
        <v>68257475</v>
      </c>
      <c r="H54" s="58">
        <f>53865+2000*16*1.3</f>
        <v>95465</v>
      </c>
      <c r="I54" s="40">
        <f t="shared" si="7"/>
        <v>54114060</v>
      </c>
      <c r="J54" s="49">
        <f t="shared" si="8"/>
        <v>75684</v>
      </c>
      <c r="K54" s="59"/>
      <c r="L54" s="59"/>
      <c r="M54" s="242">
        <f t="shared" si="9"/>
        <v>14143415</v>
      </c>
      <c r="N54" s="231">
        <v>19781</v>
      </c>
      <c r="O54" s="241">
        <v>715</v>
      </c>
      <c r="P54" s="6" t="s">
        <v>44</v>
      </c>
      <c r="Q54" s="45" t="s">
        <v>157</v>
      </c>
      <c r="R54" s="63" t="s">
        <v>158</v>
      </c>
      <c r="S54" s="61" t="s">
        <v>156</v>
      </c>
    </row>
    <row r="55" spans="2:20" ht="36.75" hidden="1" customHeight="1" thickBot="1">
      <c r="D55" s="131"/>
      <c r="F55" s="131"/>
      <c r="G55" s="397">
        <f>SUM(G40:G54)</f>
        <v>2045390155</v>
      </c>
      <c r="H55" s="398"/>
      <c r="I55" s="399">
        <f>SUM(I40:I54)</f>
        <v>1553046010</v>
      </c>
      <c r="J55" s="399"/>
      <c r="K55" s="411">
        <f>SUM(K42:K53)</f>
        <v>0</v>
      </c>
      <c r="L55" s="411"/>
      <c r="M55" s="411">
        <f>SUM(M40:M54)</f>
        <v>492344145</v>
      </c>
      <c r="N55" s="411"/>
      <c r="O55" s="133"/>
      <c r="P55" s="132"/>
      <c r="Q55" s="134" t="s">
        <v>86</v>
      </c>
      <c r="R55" s="8" t="s">
        <v>158</v>
      </c>
      <c r="S55" s="209"/>
      <c r="T55" s="29"/>
    </row>
    <row r="56" spans="2:20" ht="49.5" hidden="1" customHeight="1" thickBot="1">
      <c r="D56" s="89"/>
      <c r="F56" s="89"/>
      <c r="G56" s="102"/>
      <c r="H56" s="92"/>
      <c r="I56" s="93"/>
      <c r="J56" s="93"/>
      <c r="K56" s="92"/>
      <c r="L56" s="92"/>
      <c r="M56" s="102"/>
      <c r="N56" s="92"/>
      <c r="O56" s="107"/>
      <c r="P56" s="92"/>
      <c r="Q56" s="94"/>
      <c r="R56" s="69"/>
      <c r="S56" s="211"/>
      <c r="T56" s="29"/>
    </row>
    <row r="57" spans="2:20" ht="23.25" hidden="1" customHeight="1">
      <c r="D57" s="77"/>
      <c r="F57" s="173"/>
      <c r="G57" s="382" t="s">
        <v>300</v>
      </c>
      <c r="H57" s="382"/>
      <c r="I57" s="382" t="s">
        <v>145</v>
      </c>
      <c r="J57" s="382"/>
      <c r="K57" s="78"/>
      <c r="L57" s="78"/>
      <c r="M57" s="199"/>
      <c r="N57" s="78"/>
      <c r="O57" s="79"/>
      <c r="P57" s="78"/>
      <c r="Q57" s="80" t="s">
        <v>171</v>
      </c>
      <c r="R57" s="41"/>
      <c r="S57" s="219"/>
    </row>
    <row r="58" spans="2:20" ht="23.25" hidden="1" customHeight="1">
      <c r="D58" s="81"/>
      <c r="F58" s="174"/>
      <c r="G58" s="96"/>
      <c r="H58" s="82"/>
      <c r="I58" s="83"/>
      <c r="J58" s="143" t="s">
        <v>146</v>
      </c>
      <c r="K58" s="144"/>
      <c r="L58" s="144"/>
      <c r="M58" s="200"/>
      <c r="N58" s="144"/>
      <c r="O58" s="135"/>
      <c r="P58" s="144"/>
      <c r="Q58" s="84" t="s">
        <v>292</v>
      </c>
      <c r="R58" s="56"/>
      <c r="S58" s="175"/>
    </row>
    <row r="59" spans="2:20" ht="23.25" hidden="1" customHeight="1" thickBot="1">
      <c r="D59" s="85"/>
      <c r="F59" s="85"/>
      <c r="G59" s="145"/>
      <c r="H59" s="136"/>
      <c r="I59" s="146"/>
      <c r="J59" s="146"/>
      <c r="K59" s="136"/>
      <c r="L59" s="136"/>
      <c r="M59" s="145" t="s">
        <v>183</v>
      </c>
      <c r="N59" s="136"/>
      <c r="O59" s="136"/>
      <c r="P59" s="136"/>
      <c r="Q59" s="86" t="s">
        <v>195</v>
      </c>
      <c r="R59" s="42"/>
      <c r="S59" s="205"/>
    </row>
    <row r="60" spans="2:20" ht="25.5" hidden="1" customHeight="1">
      <c r="D60" s="385" t="s">
        <v>144</v>
      </c>
      <c r="F60" s="385" t="s">
        <v>144</v>
      </c>
      <c r="G60" s="406" t="s">
        <v>63</v>
      </c>
      <c r="H60" s="406"/>
      <c r="I60" s="409" t="s">
        <v>170</v>
      </c>
      <c r="J60" s="409"/>
      <c r="K60" s="401" t="s">
        <v>2</v>
      </c>
      <c r="L60" s="401"/>
      <c r="M60" s="401" t="s">
        <v>169</v>
      </c>
      <c r="N60" s="401"/>
      <c r="O60" s="426" t="s">
        <v>139</v>
      </c>
      <c r="P60" s="401" t="s">
        <v>1</v>
      </c>
      <c r="Q60" s="401" t="s">
        <v>138</v>
      </c>
      <c r="R60" s="62"/>
      <c r="S60" s="424" t="s">
        <v>0</v>
      </c>
    </row>
    <row r="61" spans="2:20" ht="25.5" hidden="1" customHeight="1">
      <c r="D61" s="386"/>
      <c r="F61" s="386"/>
      <c r="G61" s="97" t="s">
        <v>143</v>
      </c>
      <c r="H61" s="49" t="s">
        <v>142</v>
      </c>
      <c r="I61" s="49" t="s">
        <v>143</v>
      </c>
      <c r="J61" s="49" t="s">
        <v>142</v>
      </c>
      <c r="K61" s="1" t="s">
        <v>4</v>
      </c>
      <c r="L61" s="1" t="s">
        <v>3</v>
      </c>
      <c r="M61" s="100" t="s">
        <v>141</v>
      </c>
      <c r="N61" s="1" t="s">
        <v>140</v>
      </c>
      <c r="O61" s="427"/>
      <c r="P61" s="422"/>
      <c r="Q61" s="422"/>
      <c r="R61" s="2"/>
      <c r="S61" s="425"/>
    </row>
    <row r="62" spans="2:20" ht="34.5" hidden="1" customHeight="1">
      <c r="D62" s="35"/>
      <c r="F62" s="35"/>
      <c r="G62" s="100">
        <f>H62*O62</f>
        <v>0</v>
      </c>
      <c r="H62" s="1"/>
      <c r="I62" s="40">
        <f>J62*O62</f>
        <v>0</v>
      </c>
      <c r="J62" s="49">
        <f>H62-N62</f>
        <v>0</v>
      </c>
      <c r="K62" s="6"/>
      <c r="L62" s="4"/>
      <c r="M62" s="191"/>
      <c r="N62" s="4"/>
      <c r="O62" s="147">
        <v>25900</v>
      </c>
      <c r="P62" s="159" t="s">
        <v>82</v>
      </c>
      <c r="Q62" s="137" t="s">
        <v>196</v>
      </c>
      <c r="R62" s="63" t="s">
        <v>158</v>
      </c>
      <c r="S62" s="38" t="s">
        <v>177</v>
      </c>
      <c r="T62" s="29"/>
    </row>
    <row r="63" spans="2:20" ht="34.5" hidden="1" customHeight="1">
      <c r="D63" s="35"/>
      <c r="F63" s="35"/>
      <c r="G63" s="100">
        <f>H63*O63</f>
        <v>0</v>
      </c>
      <c r="H63" s="1"/>
      <c r="I63" s="40">
        <f>J63*O63</f>
        <v>0</v>
      </c>
      <c r="J63" s="49">
        <f>H63-N63</f>
        <v>0</v>
      </c>
      <c r="K63" s="6"/>
      <c r="L63" s="4"/>
      <c r="M63" s="191"/>
      <c r="N63" s="4"/>
      <c r="O63" s="148">
        <v>39700</v>
      </c>
      <c r="P63" s="160" t="s">
        <v>82</v>
      </c>
      <c r="Q63" s="138" t="s">
        <v>197</v>
      </c>
      <c r="R63" s="63" t="s">
        <v>158</v>
      </c>
      <c r="S63" s="38" t="s">
        <v>178</v>
      </c>
      <c r="T63" s="29"/>
    </row>
    <row r="64" spans="2:20" ht="34.5" hidden="1" customHeight="1">
      <c r="B64" s="259">
        <v>1613</v>
      </c>
      <c r="D64" s="35">
        <v>1964.98</v>
      </c>
      <c r="F64" s="35"/>
      <c r="G64" s="100">
        <f>H64*O64</f>
        <v>29689100</v>
      </c>
      <c r="H64" s="1">
        <f>1964+1613</f>
        <v>3577</v>
      </c>
      <c r="I64" s="40">
        <f>J64*O64</f>
        <v>18426000</v>
      </c>
      <c r="J64" s="49">
        <f>H64-N64</f>
        <v>2220</v>
      </c>
      <c r="K64" s="6"/>
      <c r="L64" s="4"/>
      <c r="M64" s="191">
        <f>N64*O64</f>
        <v>11263100</v>
      </c>
      <c r="N64" s="4">
        <v>1357</v>
      </c>
      <c r="O64" s="149">
        <v>8300</v>
      </c>
      <c r="P64" s="161" t="s">
        <v>82</v>
      </c>
      <c r="Q64" s="222" t="s">
        <v>217</v>
      </c>
      <c r="R64" s="63" t="s">
        <v>158</v>
      </c>
      <c r="S64" s="38" t="s">
        <v>216</v>
      </c>
      <c r="T64" s="29"/>
    </row>
    <row r="65" spans="2:20" ht="34.5" hidden="1" customHeight="1">
      <c r="D65" s="35">
        <v>333.12</v>
      </c>
      <c r="F65" s="35"/>
      <c r="G65" s="100">
        <f>H65*O65</f>
        <v>1698300</v>
      </c>
      <c r="H65" s="1">
        <v>333</v>
      </c>
      <c r="I65" s="40">
        <f>J65*O65</f>
        <v>234600</v>
      </c>
      <c r="J65" s="49">
        <f>H65-N65</f>
        <v>46</v>
      </c>
      <c r="K65" s="6"/>
      <c r="L65" s="4"/>
      <c r="M65" s="191">
        <f>N65*O65</f>
        <v>1463700</v>
      </c>
      <c r="N65" s="4">
        <v>287</v>
      </c>
      <c r="O65" s="150">
        <v>5100</v>
      </c>
      <c r="P65" s="162" t="s">
        <v>82</v>
      </c>
      <c r="Q65" s="139" t="s">
        <v>198</v>
      </c>
      <c r="R65" s="63" t="s">
        <v>158</v>
      </c>
      <c r="S65" s="38" t="s">
        <v>179</v>
      </c>
      <c r="T65" s="29"/>
    </row>
    <row r="66" spans="2:20" ht="33.75" hidden="1" customHeight="1" thickBot="1">
      <c r="D66" s="21"/>
      <c r="F66" s="21"/>
      <c r="G66" s="395">
        <f>SUM(G62:G65)</f>
        <v>31387400</v>
      </c>
      <c r="H66" s="396"/>
      <c r="I66" s="416">
        <f>SUM(I62:I65)</f>
        <v>18660600</v>
      </c>
      <c r="J66" s="417"/>
      <c r="K66" s="8">
        <f>L66*O66</f>
        <v>0</v>
      </c>
      <c r="L66" s="15"/>
      <c r="M66" s="418">
        <f>SUM(M64:M65)</f>
        <v>12726800</v>
      </c>
      <c r="N66" s="419"/>
      <c r="O66" s="23"/>
      <c r="P66" s="8"/>
      <c r="Q66" s="134" t="s">
        <v>199</v>
      </c>
      <c r="R66" s="120" t="s">
        <v>158</v>
      </c>
      <c r="S66" s="121"/>
      <c r="T66" s="29"/>
    </row>
    <row r="67" spans="2:20" ht="25.5" hidden="1" customHeight="1" thickBot="1">
      <c r="D67" s="85"/>
      <c r="F67" s="85"/>
      <c r="G67" s="145"/>
      <c r="H67" s="136"/>
      <c r="I67" s="146"/>
      <c r="J67" s="146"/>
      <c r="K67" s="136"/>
      <c r="L67" s="136"/>
      <c r="M67" s="145" t="s">
        <v>183</v>
      </c>
      <c r="N67" s="136"/>
      <c r="O67" s="136"/>
      <c r="P67" s="136"/>
      <c r="Q67" s="86" t="s">
        <v>200</v>
      </c>
      <c r="R67" s="42"/>
      <c r="S67" s="205"/>
    </row>
    <row r="68" spans="2:20" ht="30" hidden="1" customHeight="1">
      <c r="B68" s="259" t="s">
        <v>262</v>
      </c>
      <c r="C68" s="3">
        <v>300</v>
      </c>
      <c r="D68" s="91">
        <v>184.4</v>
      </c>
      <c r="F68" s="91"/>
      <c r="G68" s="141">
        <f>H68*O68</f>
        <v>50483200</v>
      </c>
      <c r="H68" s="49">
        <f>184+300+540</f>
        <v>1024</v>
      </c>
      <c r="I68" s="40">
        <f>J68*O68</f>
        <v>39144200</v>
      </c>
      <c r="J68" s="49">
        <f>H68-N68</f>
        <v>794</v>
      </c>
      <c r="K68" s="1"/>
      <c r="L68" s="1"/>
      <c r="M68" s="243">
        <f>N68*O68</f>
        <v>11339000</v>
      </c>
      <c r="N68" s="244">
        <v>230</v>
      </c>
      <c r="O68" s="151">
        <v>49300</v>
      </c>
      <c r="P68" s="163" t="s">
        <v>82</v>
      </c>
      <c r="Q68" s="140" t="s">
        <v>201</v>
      </c>
      <c r="R68" s="63" t="s">
        <v>158</v>
      </c>
      <c r="S68" s="212">
        <v>80101</v>
      </c>
    </row>
    <row r="69" spans="2:20" ht="33" hidden="1" customHeight="1">
      <c r="C69" s="3">
        <v>30</v>
      </c>
      <c r="D69" s="20"/>
      <c r="F69" s="20"/>
      <c r="G69" s="141">
        <f t="shared" ref="G69:G78" si="10">H69*O69</f>
        <v>2082000</v>
      </c>
      <c r="H69" s="1">
        <v>30</v>
      </c>
      <c r="I69" s="40">
        <f t="shared" ref="I69:I78" si="11">J69*O69</f>
        <v>2082000</v>
      </c>
      <c r="J69" s="49">
        <f t="shared" ref="J69:J78" si="12">H69-N69</f>
        <v>30</v>
      </c>
      <c r="K69" s="6"/>
      <c r="L69" s="4"/>
      <c r="M69" s="243">
        <f t="shared" ref="M69:M78" si="13">N69*O69</f>
        <v>0</v>
      </c>
      <c r="N69" s="245"/>
      <c r="O69" s="246">
        <v>69400</v>
      </c>
      <c r="P69" s="6" t="s">
        <v>36</v>
      </c>
      <c r="Q69" s="45" t="s">
        <v>203</v>
      </c>
      <c r="R69" s="63" t="s">
        <v>158</v>
      </c>
      <c r="S69" s="38" t="s">
        <v>114</v>
      </c>
    </row>
    <row r="70" spans="2:20" ht="33" hidden="1" customHeight="1">
      <c r="C70" s="3">
        <v>100</v>
      </c>
      <c r="D70" s="20"/>
      <c r="F70" s="20"/>
      <c r="G70" s="141">
        <f t="shared" si="10"/>
        <v>9650000</v>
      </c>
      <c r="H70" s="1">
        <v>100</v>
      </c>
      <c r="I70" s="40">
        <f t="shared" si="11"/>
        <v>-59830000</v>
      </c>
      <c r="J70" s="49">
        <f t="shared" si="12"/>
        <v>-620</v>
      </c>
      <c r="K70" s="6"/>
      <c r="L70" s="4"/>
      <c r="M70" s="243">
        <f t="shared" si="13"/>
        <v>69480000</v>
      </c>
      <c r="N70" s="245">
        <v>720</v>
      </c>
      <c r="O70" s="246">
        <v>96500</v>
      </c>
      <c r="P70" s="6" t="s">
        <v>36</v>
      </c>
      <c r="Q70" s="45" t="s">
        <v>104</v>
      </c>
      <c r="R70" s="63" t="s">
        <v>158</v>
      </c>
      <c r="S70" s="38" t="s">
        <v>103</v>
      </c>
    </row>
    <row r="71" spans="2:20" ht="33" hidden="1" customHeight="1">
      <c r="C71" s="266">
        <v>600</v>
      </c>
      <c r="D71" s="20"/>
      <c r="F71" s="20"/>
      <c r="G71" s="141">
        <f t="shared" si="10"/>
        <v>53750000</v>
      </c>
      <c r="H71" s="1">
        <v>500</v>
      </c>
      <c r="I71" s="40">
        <f t="shared" si="11"/>
        <v>53750000</v>
      </c>
      <c r="J71" s="49">
        <f t="shared" si="12"/>
        <v>500</v>
      </c>
      <c r="K71" s="6"/>
      <c r="L71" s="4"/>
      <c r="M71" s="243">
        <f t="shared" si="13"/>
        <v>0</v>
      </c>
      <c r="N71" s="245"/>
      <c r="O71" s="246">
        <v>107500</v>
      </c>
      <c r="P71" s="6" t="s">
        <v>36</v>
      </c>
      <c r="Q71" s="45" t="s">
        <v>130</v>
      </c>
      <c r="R71" s="63" t="s">
        <v>158</v>
      </c>
      <c r="S71" s="38" t="s">
        <v>129</v>
      </c>
    </row>
    <row r="72" spans="2:20" ht="33" hidden="1" customHeight="1">
      <c r="C72" s="266">
        <v>470</v>
      </c>
      <c r="D72" s="20"/>
      <c r="F72" s="20"/>
      <c r="G72" s="141">
        <f t="shared" si="10"/>
        <v>42000000</v>
      </c>
      <c r="H72" s="1">
        <v>350</v>
      </c>
      <c r="I72" s="40">
        <f t="shared" si="11"/>
        <v>42000000</v>
      </c>
      <c r="J72" s="49">
        <f t="shared" si="12"/>
        <v>350</v>
      </c>
      <c r="K72" s="6"/>
      <c r="L72" s="4"/>
      <c r="M72" s="243">
        <f t="shared" si="13"/>
        <v>0</v>
      </c>
      <c r="N72" s="245"/>
      <c r="O72" s="246">
        <v>120000</v>
      </c>
      <c r="P72" s="6" t="s">
        <v>36</v>
      </c>
      <c r="Q72" s="45" t="s">
        <v>116</v>
      </c>
      <c r="R72" s="63" t="s">
        <v>158</v>
      </c>
      <c r="S72" s="38" t="s">
        <v>115</v>
      </c>
    </row>
    <row r="73" spans="2:20" ht="33" hidden="1" customHeight="1">
      <c r="D73" s="20">
        <v>1521.75</v>
      </c>
      <c r="F73" s="20"/>
      <c r="G73" s="141">
        <f t="shared" si="10"/>
        <v>238036500</v>
      </c>
      <c r="H73" s="1">
        <v>1521</v>
      </c>
      <c r="I73" s="40">
        <f t="shared" si="11"/>
        <v>-5164500</v>
      </c>
      <c r="J73" s="49">
        <f t="shared" si="12"/>
        <v>-33</v>
      </c>
      <c r="K73" s="6"/>
      <c r="L73" s="4"/>
      <c r="M73" s="243">
        <f t="shared" si="13"/>
        <v>243201000</v>
      </c>
      <c r="N73" s="245">
        <v>1554</v>
      </c>
      <c r="O73" s="246">
        <v>156500</v>
      </c>
      <c r="P73" s="6" t="s">
        <v>36</v>
      </c>
      <c r="Q73" s="45" t="s">
        <v>232</v>
      </c>
      <c r="R73" s="63" t="s">
        <v>158</v>
      </c>
      <c r="S73" s="38" t="s">
        <v>231</v>
      </c>
    </row>
    <row r="74" spans="2:20" ht="33" hidden="1" customHeight="1">
      <c r="D74" s="20"/>
      <c r="F74" s="20"/>
      <c r="G74" s="141">
        <f t="shared" si="10"/>
        <v>0</v>
      </c>
      <c r="H74" s="1"/>
      <c r="I74" s="40">
        <f t="shared" si="11"/>
        <v>0</v>
      </c>
      <c r="J74" s="49">
        <f t="shared" si="12"/>
        <v>0</v>
      </c>
      <c r="K74" s="6"/>
      <c r="L74" s="4"/>
      <c r="M74" s="243">
        <f t="shared" si="13"/>
        <v>0</v>
      </c>
      <c r="N74" s="245"/>
      <c r="O74" s="246">
        <v>37500</v>
      </c>
      <c r="P74" s="6" t="s">
        <v>36</v>
      </c>
      <c r="Q74" s="45" t="s">
        <v>147</v>
      </c>
      <c r="R74" s="63" t="s">
        <v>158</v>
      </c>
      <c r="S74" s="36" t="s">
        <v>132</v>
      </c>
    </row>
    <row r="75" spans="2:20" ht="33" hidden="1" customHeight="1">
      <c r="D75" s="20"/>
      <c r="F75" s="20"/>
      <c r="G75" s="141">
        <f t="shared" si="10"/>
        <v>0</v>
      </c>
      <c r="H75" s="1"/>
      <c r="I75" s="40">
        <f t="shared" si="11"/>
        <v>0</v>
      </c>
      <c r="J75" s="49">
        <f t="shared" si="12"/>
        <v>0</v>
      </c>
      <c r="K75" s="6"/>
      <c r="L75" s="4"/>
      <c r="M75" s="243">
        <f t="shared" si="13"/>
        <v>0</v>
      </c>
      <c r="N75" s="245"/>
      <c r="O75" s="246">
        <v>32400</v>
      </c>
      <c r="P75" s="6" t="s">
        <v>36</v>
      </c>
      <c r="Q75" s="45" t="s">
        <v>133</v>
      </c>
      <c r="R75" s="63" t="s">
        <v>158</v>
      </c>
      <c r="S75" s="36" t="s">
        <v>131</v>
      </c>
    </row>
    <row r="76" spans="2:20" ht="33" hidden="1" customHeight="1">
      <c r="D76" s="20"/>
      <c r="F76" s="20"/>
      <c r="G76" s="141">
        <f t="shared" si="10"/>
        <v>0</v>
      </c>
      <c r="H76" s="1"/>
      <c r="I76" s="40">
        <f t="shared" si="11"/>
        <v>0</v>
      </c>
      <c r="J76" s="49">
        <f t="shared" si="12"/>
        <v>0</v>
      </c>
      <c r="K76" s="6"/>
      <c r="L76" s="4"/>
      <c r="M76" s="243">
        <f t="shared" si="13"/>
        <v>0</v>
      </c>
      <c r="N76" s="245"/>
      <c r="O76" s="246">
        <v>13400</v>
      </c>
      <c r="P76" s="6" t="s">
        <v>36</v>
      </c>
      <c r="Q76" s="46" t="s">
        <v>90</v>
      </c>
      <c r="R76" s="63" t="s">
        <v>158</v>
      </c>
      <c r="S76" s="36" t="s">
        <v>88</v>
      </c>
    </row>
    <row r="77" spans="2:20" ht="33" hidden="1" customHeight="1">
      <c r="B77" s="259">
        <v>5520</v>
      </c>
      <c r="C77" s="3">
        <v>3500</v>
      </c>
      <c r="D77" s="20">
        <v>7547.5</v>
      </c>
      <c r="F77" s="20"/>
      <c r="G77" s="141">
        <f t="shared" si="10"/>
        <v>88799120</v>
      </c>
      <c r="H77" s="1">
        <f>7547+3500+5520</f>
        <v>16567</v>
      </c>
      <c r="I77" s="40">
        <f t="shared" si="11"/>
        <v>84484320</v>
      </c>
      <c r="J77" s="49">
        <f t="shared" si="12"/>
        <v>15762</v>
      </c>
      <c r="K77" s="6"/>
      <c r="L77" s="4"/>
      <c r="M77" s="243">
        <f t="shared" si="13"/>
        <v>4314800</v>
      </c>
      <c r="N77" s="245">
        <v>805</v>
      </c>
      <c r="O77" s="246">
        <v>5360</v>
      </c>
      <c r="P77" s="4" t="s">
        <v>47</v>
      </c>
      <c r="Q77" s="46" t="s">
        <v>46</v>
      </c>
      <c r="R77" s="63" t="s">
        <v>158</v>
      </c>
      <c r="S77" s="36" t="s">
        <v>45</v>
      </c>
    </row>
    <row r="78" spans="2:20" ht="33" hidden="1" customHeight="1">
      <c r="C78" s="3">
        <v>300</v>
      </c>
      <c r="D78" s="20"/>
      <c r="F78" s="20"/>
      <c r="G78" s="141">
        <f t="shared" si="10"/>
        <v>18960000</v>
      </c>
      <c r="H78" s="1">
        <v>300</v>
      </c>
      <c r="I78" s="40">
        <f t="shared" si="11"/>
        <v>18960000</v>
      </c>
      <c r="J78" s="49">
        <f t="shared" si="12"/>
        <v>300</v>
      </c>
      <c r="K78" s="6"/>
      <c r="L78" s="4"/>
      <c r="M78" s="243">
        <f t="shared" si="13"/>
        <v>0</v>
      </c>
      <c r="N78" s="245"/>
      <c r="O78" s="246">
        <v>63200</v>
      </c>
      <c r="P78" s="6" t="s">
        <v>36</v>
      </c>
      <c r="Q78" s="46" t="s">
        <v>87</v>
      </c>
      <c r="R78" s="63" t="s">
        <v>158</v>
      </c>
      <c r="S78" s="36" t="s">
        <v>89</v>
      </c>
    </row>
    <row r="79" spans="2:20" ht="33" hidden="1" customHeight="1" thickBot="1">
      <c r="D79" s="142"/>
      <c r="F79" s="142"/>
      <c r="G79" s="412">
        <f>SUM(G68:G78)</f>
        <v>503760820</v>
      </c>
      <c r="H79" s="413"/>
      <c r="I79" s="399">
        <f>SUM(I68:I78)</f>
        <v>175426020</v>
      </c>
      <c r="J79" s="399"/>
      <c r="K79" s="411">
        <f>SUM(K67:K78)</f>
        <v>0</v>
      </c>
      <c r="L79" s="411"/>
      <c r="M79" s="411">
        <f>SUM(M68:M78)</f>
        <v>328334800</v>
      </c>
      <c r="N79" s="411"/>
      <c r="O79" s="133"/>
      <c r="P79" s="132"/>
      <c r="Q79" s="132" t="s">
        <v>6</v>
      </c>
      <c r="R79" s="8"/>
      <c r="S79" s="209"/>
    </row>
    <row r="80" spans="2:20" ht="49.5" hidden="1" customHeight="1" thickBot="1">
      <c r="D80" s="13"/>
      <c r="F80" s="13"/>
      <c r="G80" s="99"/>
      <c r="H80" s="37"/>
      <c r="I80" s="50"/>
      <c r="J80" s="50"/>
      <c r="K80" s="37"/>
      <c r="L80" s="37"/>
      <c r="M80" s="99"/>
      <c r="N80" s="37"/>
      <c r="O80" s="24"/>
      <c r="P80" s="9"/>
      <c r="Q80" s="9"/>
      <c r="R80" s="70"/>
      <c r="S80" s="208"/>
    </row>
    <row r="81" spans="2:20" ht="25.5" hidden="1" customHeight="1">
      <c r="D81" s="77"/>
      <c r="F81" s="173"/>
      <c r="G81" s="382" t="s">
        <v>300</v>
      </c>
      <c r="H81" s="382"/>
      <c r="I81" s="382" t="s">
        <v>145</v>
      </c>
      <c r="J81" s="382"/>
      <c r="K81" s="78"/>
      <c r="L81" s="78"/>
      <c r="M81" s="199"/>
      <c r="N81" s="78"/>
      <c r="O81" s="79"/>
      <c r="P81" s="78"/>
      <c r="Q81" s="80" t="s">
        <v>171</v>
      </c>
      <c r="R81" s="41"/>
      <c r="S81" s="219"/>
    </row>
    <row r="82" spans="2:20" ht="25.5" hidden="1" customHeight="1">
      <c r="D82" s="81"/>
      <c r="F82" s="174"/>
      <c r="G82" s="96"/>
      <c r="H82" s="82"/>
      <c r="I82" s="83"/>
      <c r="J82" s="143" t="s">
        <v>146</v>
      </c>
      <c r="K82" s="144"/>
      <c r="L82" s="144"/>
      <c r="M82" s="200"/>
      <c r="N82" s="144"/>
      <c r="O82" s="135"/>
      <c r="P82" s="144"/>
      <c r="Q82" s="84" t="s">
        <v>292</v>
      </c>
      <c r="R82" s="56"/>
      <c r="S82" s="175"/>
    </row>
    <row r="83" spans="2:20" ht="25.5" hidden="1" customHeight="1" thickBot="1">
      <c r="D83" s="85"/>
      <c r="F83" s="85"/>
      <c r="G83" s="145"/>
      <c r="H83" s="136"/>
      <c r="I83" s="146"/>
      <c r="J83" s="146"/>
      <c r="K83" s="136"/>
      <c r="L83" s="136"/>
      <c r="M83" s="145" t="s">
        <v>183</v>
      </c>
      <c r="N83" s="136"/>
      <c r="O83" s="136"/>
      <c r="P83" s="136"/>
      <c r="Q83" s="86" t="s">
        <v>202</v>
      </c>
      <c r="R83" s="42"/>
      <c r="S83" s="205"/>
    </row>
    <row r="84" spans="2:20" ht="30" hidden="1" customHeight="1">
      <c r="D84" s="385" t="s">
        <v>144</v>
      </c>
      <c r="F84" s="385"/>
      <c r="G84" s="406" t="s">
        <v>63</v>
      </c>
      <c r="H84" s="406"/>
      <c r="I84" s="409" t="s">
        <v>170</v>
      </c>
      <c r="J84" s="409"/>
      <c r="K84" s="401" t="s">
        <v>2</v>
      </c>
      <c r="L84" s="401"/>
      <c r="M84" s="401" t="s">
        <v>169</v>
      </c>
      <c r="N84" s="401"/>
      <c r="O84" s="426" t="s">
        <v>139</v>
      </c>
      <c r="P84" s="401" t="s">
        <v>1</v>
      </c>
      <c r="Q84" s="401" t="s">
        <v>138</v>
      </c>
      <c r="R84" s="63"/>
      <c r="S84" s="424" t="s">
        <v>0</v>
      </c>
    </row>
    <row r="85" spans="2:20" ht="30" hidden="1" customHeight="1">
      <c r="D85" s="386"/>
      <c r="F85" s="386"/>
      <c r="G85" s="97" t="s">
        <v>143</v>
      </c>
      <c r="H85" s="49" t="s">
        <v>142</v>
      </c>
      <c r="I85" s="49" t="s">
        <v>143</v>
      </c>
      <c r="J85" s="49" t="s">
        <v>142</v>
      </c>
      <c r="K85" s="1" t="s">
        <v>4</v>
      </c>
      <c r="L85" s="1" t="s">
        <v>3</v>
      </c>
      <c r="M85" s="100" t="s">
        <v>141</v>
      </c>
      <c r="N85" s="1" t="s">
        <v>140</v>
      </c>
      <c r="O85" s="427"/>
      <c r="P85" s="422"/>
      <c r="Q85" s="422"/>
      <c r="R85" s="63"/>
      <c r="S85" s="425"/>
    </row>
    <row r="86" spans="2:20" ht="31.5" hidden="1" customHeight="1">
      <c r="D86" s="20">
        <v>7265</v>
      </c>
      <c r="F86" s="20"/>
      <c r="G86" s="100">
        <f>H86*O86</f>
        <v>58410600</v>
      </c>
      <c r="H86" s="1">
        <v>7265</v>
      </c>
      <c r="I86" s="40">
        <f>J86*O86</f>
        <v>3770760</v>
      </c>
      <c r="J86" s="49">
        <f>H86-N86</f>
        <v>469</v>
      </c>
      <c r="K86" s="4"/>
      <c r="L86" s="4"/>
      <c r="M86" s="191">
        <f>N86*O86</f>
        <v>54639840</v>
      </c>
      <c r="N86" s="4">
        <v>6796</v>
      </c>
      <c r="O86" s="22">
        <v>8040</v>
      </c>
      <c r="P86" s="4" t="s">
        <v>48</v>
      </c>
      <c r="Q86" s="6" t="s">
        <v>94</v>
      </c>
      <c r="R86" s="63" t="s">
        <v>158</v>
      </c>
      <c r="S86" s="36" t="s">
        <v>91</v>
      </c>
    </row>
    <row r="87" spans="2:20" ht="31.5" hidden="1" customHeight="1">
      <c r="D87" s="20">
        <v>53957.8</v>
      </c>
      <c r="F87" s="20"/>
      <c r="G87" s="100">
        <f>H87*O87</f>
        <v>349637805.00666648</v>
      </c>
      <c r="H87" s="267">
        <v>54974.497642557624</v>
      </c>
      <c r="I87" s="40">
        <f>J87*O87</f>
        <v>17779365.006666489</v>
      </c>
      <c r="J87" s="49">
        <f>H87-N87</f>
        <v>2795.4976425576242</v>
      </c>
      <c r="K87" s="4"/>
      <c r="L87" s="4"/>
      <c r="M87" s="191">
        <f>N87*O87</f>
        <v>331858440</v>
      </c>
      <c r="N87" s="4">
        <v>52179</v>
      </c>
      <c r="O87" s="22">
        <v>6360</v>
      </c>
      <c r="P87" s="4" t="s">
        <v>48</v>
      </c>
      <c r="Q87" s="6" t="s">
        <v>95</v>
      </c>
      <c r="R87" s="63" t="s">
        <v>158</v>
      </c>
      <c r="S87" s="36" t="s">
        <v>92</v>
      </c>
    </row>
    <row r="88" spans="2:20" ht="31.5" hidden="1" customHeight="1">
      <c r="B88" s="259" t="s">
        <v>263</v>
      </c>
      <c r="D88" s="20">
        <v>27030.59</v>
      </c>
      <c r="F88" s="20"/>
      <c r="G88" s="100">
        <f>H88*O88</f>
        <v>171782280</v>
      </c>
      <c r="H88" s="223">
        <v>28069</v>
      </c>
      <c r="I88" s="40">
        <f>J88*O88</f>
        <v>171782280</v>
      </c>
      <c r="J88" s="49">
        <f>H88-N88</f>
        <v>28069</v>
      </c>
      <c r="K88" s="4"/>
      <c r="L88" s="4"/>
      <c r="M88" s="191">
        <f>N88*O88</f>
        <v>0</v>
      </c>
      <c r="N88" s="4"/>
      <c r="O88" s="22">
        <v>6120</v>
      </c>
      <c r="P88" s="4" t="s">
        <v>48</v>
      </c>
      <c r="Q88" s="4" t="s">
        <v>96</v>
      </c>
      <c r="R88" s="63" t="s">
        <v>158</v>
      </c>
      <c r="S88" s="36" t="s">
        <v>93</v>
      </c>
    </row>
    <row r="89" spans="2:20" ht="31.5" hidden="1" customHeight="1">
      <c r="D89" s="20"/>
      <c r="F89" s="20"/>
      <c r="G89" s="100">
        <f>H89*O89</f>
        <v>0</v>
      </c>
      <c r="H89" s="1"/>
      <c r="I89" s="40">
        <f>J89*O89</f>
        <v>0</v>
      </c>
      <c r="J89" s="49">
        <f>H89-N89</f>
        <v>0</v>
      </c>
      <c r="K89" s="4"/>
      <c r="L89" s="4"/>
      <c r="M89" s="191">
        <f>N89*O89</f>
        <v>0</v>
      </c>
      <c r="N89" s="4"/>
      <c r="O89" s="22">
        <v>325</v>
      </c>
      <c r="P89" s="4" t="s">
        <v>48</v>
      </c>
      <c r="Q89" s="4" t="s">
        <v>118</v>
      </c>
      <c r="R89" s="63" t="s">
        <v>158</v>
      </c>
      <c r="S89" s="36" t="s">
        <v>117</v>
      </c>
    </row>
    <row r="90" spans="2:20" ht="31.5" hidden="1" customHeight="1">
      <c r="D90" s="20"/>
      <c r="F90" s="20"/>
      <c r="G90" s="100">
        <f>H90*O90</f>
        <v>0</v>
      </c>
      <c r="H90" s="1"/>
      <c r="I90" s="40">
        <f>J90*O90</f>
        <v>0</v>
      </c>
      <c r="J90" s="49">
        <f>H90-N90</f>
        <v>0</v>
      </c>
      <c r="K90" s="4"/>
      <c r="L90" s="4"/>
      <c r="M90" s="191">
        <f>N90*O90</f>
        <v>0</v>
      </c>
      <c r="N90" s="4"/>
      <c r="O90" s="22">
        <v>12600</v>
      </c>
      <c r="P90" s="4" t="s">
        <v>48</v>
      </c>
      <c r="Q90" s="45" t="s">
        <v>135</v>
      </c>
      <c r="R90" s="63" t="s">
        <v>158</v>
      </c>
      <c r="S90" s="36" t="s">
        <v>134</v>
      </c>
    </row>
    <row r="91" spans="2:20" ht="31.5" hidden="1" customHeight="1" thickBot="1">
      <c r="D91" s="57"/>
      <c r="F91" s="57"/>
      <c r="G91" s="414">
        <f>SUM(G86:G90)</f>
        <v>579830685.00666642</v>
      </c>
      <c r="H91" s="415"/>
      <c r="I91" s="430">
        <f>SUM(I86:I90)</f>
        <v>193332405.00666648</v>
      </c>
      <c r="J91" s="430"/>
      <c r="K91" s="423">
        <f>SUM(K86:K90)</f>
        <v>0</v>
      </c>
      <c r="L91" s="423"/>
      <c r="M91" s="423">
        <f>SUM(M86:M90)</f>
        <v>386498280</v>
      </c>
      <c r="N91" s="423"/>
      <c r="O91" s="423"/>
      <c r="P91" s="423"/>
      <c r="Q91" s="164" t="s">
        <v>7</v>
      </c>
      <c r="R91" s="165"/>
      <c r="S91" s="213"/>
    </row>
    <row r="92" spans="2:20" ht="27.75" hidden="1" customHeight="1">
      <c r="D92" s="186"/>
      <c r="F92" s="186"/>
      <c r="G92" s="187"/>
      <c r="H92" s="188"/>
      <c r="I92" s="189"/>
      <c r="J92" s="189"/>
      <c r="K92" s="188"/>
      <c r="L92" s="188"/>
      <c r="M92" s="201" t="s">
        <v>183</v>
      </c>
      <c r="N92" s="188"/>
      <c r="O92" s="190"/>
      <c r="P92" s="188"/>
      <c r="Q92" s="188" t="s">
        <v>8</v>
      </c>
      <c r="R92" s="188"/>
      <c r="S92" s="215"/>
    </row>
    <row r="93" spans="2:20" ht="28.5" hidden="1" customHeight="1">
      <c r="D93" s="5">
        <v>650</v>
      </c>
      <c r="F93" s="5"/>
      <c r="G93" s="191">
        <f>H93*O93</f>
        <v>11505000</v>
      </c>
      <c r="H93" s="1">
        <v>650</v>
      </c>
      <c r="I93" s="40">
        <f>J93*O93</f>
        <v>11505000</v>
      </c>
      <c r="J93" s="49">
        <f>H93-N93</f>
        <v>650</v>
      </c>
      <c r="K93" s="6"/>
      <c r="L93" s="4"/>
      <c r="M93" s="191"/>
      <c r="N93" s="4"/>
      <c r="O93" s="22">
        <v>17700</v>
      </c>
      <c r="P93" s="6" t="s">
        <v>48</v>
      </c>
      <c r="Q93" s="45" t="s">
        <v>250</v>
      </c>
      <c r="R93" s="6" t="s">
        <v>158</v>
      </c>
      <c r="S93" s="34" t="s">
        <v>249</v>
      </c>
    </row>
    <row r="94" spans="2:20" ht="28.5" hidden="1" customHeight="1">
      <c r="D94" s="5"/>
      <c r="F94" s="5"/>
      <c r="G94" s="191">
        <f>H94*O94</f>
        <v>0</v>
      </c>
      <c r="H94" s="1"/>
      <c r="I94" s="40">
        <f>J94*O94</f>
        <v>0</v>
      </c>
      <c r="J94" s="49">
        <f>H94-N94</f>
        <v>0</v>
      </c>
      <c r="K94" s="6"/>
      <c r="L94" s="4"/>
      <c r="M94" s="191"/>
      <c r="N94" s="4"/>
      <c r="O94" s="22">
        <v>12500</v>
      </c>
      <c r="P94" s="6" t="s">
        <v>48</v>
      </c>
      <c r="Q94" s="45" t="s">
        <v>119</v>
      </c>
      <c r="R94" s="6" t="s">
        <v>158</v>
      </c>
      <c r="S94" s="207">
        <v>110301</v>
      </c>
      <c r="T94" s="27"/>
    </row>
    <row r="95" spans="2:20" ht="28.5" hidden="1" customHeight="1" thickBot="1">
      <c r="D95" s="185">
        <v>1220</v>
      </c>
      <c r="F95" s="185"/>
      <c r="G95" s="191">
        <f>H95*O95</f>
        <v>54900000</v>
      </c>
      <c r="H95" s="43">
        <v>1220</v>
      </c>
      <c r="I95" s="40">
        <f>J95*O95</f>
        <v>900000</v>
      </c>
      <c r="J95" s="49">
        <f>H95-N95</f>
        <v>20</v>
      </c>
      <c r="K95" s="8"/>
      <c r="L95" s="15"/>
      <c r="M95" s="197">
        <f>N95*O95</f>
        <v>54000000</v>
      </c>
      <c r="N95" s="15">
        <v>1200</v>
      </c>
      <c r="O95" s="23">
        <v>45000</v>
      </c>
      <c r="P95" s="8" t="s">
        <v>48</v>
      </c>
      <c r="Q95" s="198" t="s">
        <v>233</v>
      </c>
      <c r="R95" s="8" t="s">
        <v>159</v>
      </c>
      <c r="S95" s="209">
        <v>110304</v>
      </c>
      <c r="T95" s="27"/>
    </row>
    <row r="96" spans="2:20" ht="28.5" hidden="1" customHeight="1" thickBot="1">
      <c r="D96" s="193"/>
      <c r="F96" s="193"/>
      <c r="G96" s="404">
        <f>SUM(G93:G95)</f>
        <v>66405000</v>
      </c>
      <c r="H96" s="405"/>
      <c r="I96" s="410">
        <f>SUM(I93:I95)</f>
        <v>12405000</v>
      </c>
      <c r="J96" s="410"/>
      <c r="K96" s="431">
        <f>SUM(K93:K95)</f>
        <v>0</v>
      </c>
      <c r="L96" s="431"/>
      <c r="M96" s="431">
        <f>SUM(M93:M95)</f>
        <v>54000000</v>
      </c>
      <c r="N96" s="431"/>
      <c r="O96" s="195"/>
      <c r="P96" s="194"/>
      <c r="Q96" s="194" t="s">
        <v>10</v>
      </c>
      <c r="R96" s="196"/>
      <c r="S96" s="216"/>
    </row>
    <row r="97" spans="2:19" ht="49.5" hidden="1" customHeight="1" thickBot="1">
      <c r="G97" s="101"/>
      <c r="H97" s="17"/>
      <c r="I97" s="52"/>
      <c r="J97" s="52"/>
      <c r="K97" s="17"/>
      <c r="L97" s="17"/>
      <c r="M97" s="101"/>
      <c r="N97" s="17"/>
      <c r="O97" s="24"/>
      <c r="P97" s="17"/>
      <c r="Q97" s="18"/>
      <c r="R97" s="18"/>
      <c r="S97" s="210"/>
    </row>
    <row r="98" spans="2:19" ht="25.5" hidden="1" customHeight="1">
      <c r="D98" s="77"/>
      <c r="F98" s="173"/>
      <c r="G98" s="382" t="s">
        <v>300</v>
      </c>
      <c r="H98" s="382"/>
      <c r="I98" s="382" t="s">
        <v>145</v>
      </c>
      <c r="J98" s="382"/>
      <c r="K98" s="78"/>
      <c r="L98" s="78"/>
      <c r="M98" s="199"/>
      <c r="N98" s="78"/>
      <c r="O98" s="79"/>
      <c r="P98" s="78"/>
      <c r="Q98" s="80" t="s">
        <v>171</v>
      </c>
      <c r="R98" s="41"/>
      <c r="S98" s="219"/>
    </row>
    <row r="99" spans="2:19" ht="25.5" hidden="1" customHeight="1">
      <c r="D99" s="81"/>
      <c r="F99" s="174"/>
      <c r="G99" s="96"/>
      <c r="H99" s="82"/>
      <c r="I99" s="83"/>
      <c r="J99" s="143" t="s">
        <v>146</v>
      </c>
      <c r="K99" s="144"/>
      <c r="L99" s="144"/>
      <c r="M99" s="200"/>
      <c r="N99" s="144"/>
      <c r="O99" s="135"/>
      <c r="P99" s="144"/>
      <c r="Q99" s="84" t="s">
        <v>292</v>
      </c>
      <c r="R99" s="56"/>
      <c r="S99" s="175"/>
    </row>
    <row r="100" spans="2:19" ht="25.5" hidden="1" customHeight="1" thickBot="1">
      <c r="D100" s="85"/>
      <c r="F100" s="85"/>
      <c r="G100" s="145"/>
      <c r="H100" s="136"/>
      <c r="I100" s="146"/>
      <c r="J100" s="146"/>
      <c r="K100" s="136"/>
      <c r="L100" s="136"/>
      <c r="M100" s="202" t="s">
        <v>183</v>
      </c>
      <c r="N100" s="136"/>
      <c r="O100" s="136"/>
      <c r="P100" s="136"/>
      <c r="Q100" s="86" t="s">
        <v>206</v>
      </c>
      <c r="R100" s="42"/>
      <c r="S100" s="205"/>
    </row>
    <row r="101" spans="2:19" ht="30" hidden="1" customHeight="1">
      <c r="D101" s="385" t="s">
        <v>144</v>
      </c>
      <c r="F101" s="385" t="s">
        <v>144</v>
      </c>
      <c r="G101" s="406" t="s">
        <v>63</v>
      </c>
      <c r="H101" s="406"/>
      <c r="I101" s="409" t="s">
        <v>170</v>
      </c>
      <c r="J101" s="409"/>
      <c r="K101" s="401" t="s">
        <v>2</v>
      </c>
      <c r="L101" s="401"/>
      <c r="M101" s="401" t="s">
        <v>169</v>
      </c>
      <c r="N101" s="401"/>
      <c r="O101" s="426" t="s">
        <v>139</v>
      </c>
      <c r="P101" s="401" t="s">
        <v>1</v>
      </c>
      <c r="Q101" s="401" t="s">
        <v>138</v>
      </c>
      <c r="R101" s="62"/>
      <c r="S101" s="424" t="s">
        <v>0</v>
      </c>
    </row>
    <row r="102" spans="2:19" ht="30" hidden="1" customHeight="1">
      <c r="D102" s="386"/>
      <c r="F102" s="386"/>
      <c r="G102" s="97" t="s">
        <v>143</v>
      </c>
      <c r="H102" s="49" t="s">
        <v>142</v>
      </c>
      <c r="I102" s="49" t="s">
        <v>143</v>
      </c>
      <c r="J102" s="49" t="s">
        <v>142</v>
      </c>
      <c r="K102" s="1" t="s">
        <v>4</v>
      </c>
      <c r="L102" s="1" t="s">
        <v>3</v>
      </c>
      <c r="M102" s="100" t="s">
        <v>141</v>
      </c>
      <c r="N102" s="1" t="s">
        <v>140</v>
      </c>
      <c r="O102" s="427"/>
      <c r="P102" s="422"/>
      <c r="Q102" s="422"/>
      <c r="R102" s="2"/>
      <c r="S102" s="425"/>
    </row>
    <row r="103" spans="2:19" ht="30" hidden="1" customHeight="1">
      <c r="D103" s="55"/>
      <c r="F103" s="55"/>
      <c r="G103" s="100">
        <f>H103*O103</f>
        <v>0</v>
      </c>
      <c r="H103" s="49"/>
      <c r="I103" s="40">
        <f>J103*O103</f>
        <v>0</v>
      </c>
      <c r="J103" s="49">
        <f>H103-N103</f>
        <v>0</v>
      </c>
      <c r="K103" s="1"/>
      <c r="L103" s="1"/>
      <c r="M103" s="191">
        <f>N103*O103</f>
        <v>0</v>
      </c>
      <c r="N103" s="1"/>
      <c r="O103" s="22">
        <v>220000</v>
      </c>
      <c r="P103" s="6" t="s">
        <v>35</v>
      </c>
      <c r="Q103" s="45" t="s">
        <v>219</v>
      </c>
      <c r="R103" s="2"/>
      <c r="S103" s="34" t="s">
        <v>218</v>
      </c>
    </row>
    <row r="104" spans="2:19" ht="39" hidden="1" customHeight="1">
      <c r="D104" s="20"/>
      <c r="F104" s="20"/>
      <c r="G104" s="100">
        <f t="shared" ref="G104:G119" si="14">H104*O104</f>
        <v>0</v>
      </c>
      <c r="H104" s="1"/>
      <c r="I104" s="40">
        <f t="shared" ref="I104:I119" si="15">J104*O104</f>
        <v>0</v>
      </c>
      <c r="J104" s="49">
        <f t="shared" ref="J104:J119" si="16">H104-N104</f>
        <v>0</v>
      </c>
      <c r="K104" s="6"/>
      <c r="L104" s="6"/>
      <c r="M104" s="191">
        <f t="shared" ref="M104:M119" si="17">N104*O104</f>
        <v>0</v>
      </c>
      <c r="N104" s="6"/>
      <c r="O104" s="22">
        <v>249500</v>
      </c>
      <c r="P104" s="6" t="s">
        <v>35</v>
      </c>
      <c r="Q104" s="45" t="s">
        <v>182</v>
      </c>
      <c r="R104" s="66" t="s">
        <v>158</v>
      </c>
      <c r="S104" s="34">
        <v>120103</v>
      </c>
    </row>
    <row r="105" spans="2:19" ht="39" hidden="1" customHeight="1">
      <c r="B105" s="259">
        <v>893</v>
      </c>
      <c r="C105" s="3">
        <v>2150</v>
      </c>
      <c r="D105" s="20">
        <v>416.5</v>
      </c>
      <c r="F105" s="20"/>
      <c r="G105" s="100">
        <f t="shared" si="14"/>
        <v>970249500</v>
      </c>
      <c r="H105" s="1">
        <f>416+2150+893</f>
        <v>3459</v>
      </c>
      <c r="I105" s="40">
        <f t="shared" si="15"/>
        <v>754264500</v>
      </c>
      <c r="J105" s="49">
        <f t="shared" si="16"/>
        <v>2689</v>
      </c>
      <c r="K105" s="6"/>
      <c r="L105" s="6"/>
      <c r="M105" s="191">
        <f t="shared" si="17"/>
        <v>215985000</v>
      </c>
      <c r="N105" s="6">
        <v>770</v>
      </c>
      <c r="O105" s="22">
        <v>280500</v>
      </c>
      <c r="P105" s="6" t="s">
        <v>35</v>
      </c>
      <c r="Q105" s="46" t="s">
        <v>120</v>
      </c>
      <c r="R105" s="66" t="s">
        <v>158</v>
      </c>
      <c r="S105" s="34">
        <v>120104</v>
      </c>
    </row>
    <row r="106" spans="2:19" ht="39" hidden="1" customHeight="1">
      <c r="D106" s="20">
        <v>92.36</v>
      </c>
      <c r="F106" s="20"/>
      <c r="G106" s="100">
        <f t="shared" si="14"/>
        <v>31096000</v>
      </c>
      <c r="H106" s="1">
        <v>92</v>
      </c>
      <c r="I106" s="40">
        <f t="shared" si="15"/>
        <v>0</v>
      </c>
      <c r="J106" s="49">
        <f t="shared" si="16"/>
        <v>0</v>
      </c>
      <c r="K106" s="6"/>
      <c r="L106" s="6"/>
      <c r="M106" s="191">
        <f t="shared" si="17"/>
        <v>31096000</v>
      </c>
      <c r="N106" s="4">
        <v>92</v>
      </c>
      <c r="O106" s="22">
        <v>338000</v>
      </c>
      <c r="P106" s="6" t="s">
        <v>35</v>
      </c>
      <c r="Q106" s="46" t="s">
        <v>51</v>
      </c>
      <c r="R106" s="66" t="s">
        <v>158</v>
      </c>
      <c r="S106" s="207" t="s">
        <v>49</v>
      </c>
    </row>
    <row r="107" spans="2:19" ht="39" hidden="1" customHeight="1">
      <c r="D107" s="20">
        <v>708.39</v>
      </c>
      <c r="F107" s="20"/>
      <c r="G107" s="100">
        <f t="shared" si="14"/>
        <v>258774000</v>
      </c>
      <c r="H107" s="1">
        <v>708</v>
      </c>
      <c r="I107" s="40">
        <f t="shared" si="15"/>
        <v>-17909500</v>
      </c>
      <c r="J107" s="49">
        <f t="shared" si="16"/>
        <v>-49</v>
      </c>
      <c r="K107" s="6"/>
      <c r="L107" s="6"/>
      <c r="M107" s="191">
        <f t="shared" si="17"/>
        <v>276683500</v>
      </c>
      <c r="N107" s="4">
        <v>757</v>
      </c>
      <c r="O107" s="22">
        <v>365500</v>
      </c>
      <c r="P107" s="6" t="s">
        <v>35</v>
      </c>
      <c r="Q107" s="46" t="s">
        <v>160</v>
      </c>
      <c r="R107" s="66" t="s">
        <v>158</v>
      </c>
      <c r="S107" s="207">
        <v>120107</v>
      </c>
    </row>
    <row r="108" spans="2:19" ht="39" hidden="1" customHeight="1">
      <c r="D108" s="20"/>
      <c r="F108" s="20"/>
      <c r="G108" s="100">
        <f t="shared" si="14"/>
        <v>0</v>
      </c>
      <c r="H108" s="1"/>
      <c r="I108" s="40">
        <f t="shared" si="15"/>
        <v>0</v>
      </c>
      <c r="J108" s="49">
        <f t="shared" si="16"/>
        <v>0</v>
      </c>
      <c r="K108" s="6"/>
      <c r="L108" s="6"/>
      <c r="M108" s="191">
        <f t="shared" si="17"/>
        <v>0</v>
      </c>
      <c r="N108" s="4"/>
      <c r="O108" s="22">
        <v>25400</v>
      </c>
      <c r="P108" s="6" t="s">
        <v>35</v>
      </c>
      <c r="Q108" s="46" t="s">
        <v>161</v>
      </c>
      <c r="R108" s="66" t="s">
        <v>158</v>
      </c>
      <c r="S108" s="207">
        <v>120110</v>
      </c>
    </row>
    <row r="109" spans="2:19" ht="39" hidden="1" customHeight="1">
      <c r="C109" s="3">
        <v>1800</v>
      </c>
      <c r="D109" s="20">
        <v>118.37</v>
      </c>
      <c r="F109" s="20"/>
      <c r="G109" s="100">
        <f t="shared" si="14"/>
        <v>37796000</v>
      </c>
      <c r="H109" s="1">
        <f>118+1600</f>
        <v>1718</v>
      </c>
      <c r="I109" s="40">
        <f t="shared" si="15"/>
        <v>18832000</v>
      </c>
      <c r="J109" s="49">
        <f t="shared" si="16"/>
        <v>856</v>
      </c>
      <c r="K109" s="6"/>
      <c r="L109" s="6"/>
      <c r="M109" s="191">
        <f t="shared" si="17"/>
        <v>18964000</v>
      </c>
      <c r="N109" s="4">
        <v>862</v>
      </c>
      <c r="O109" s="22">
        <v>22000</v>
      </c>
      <c r="P109" s="6" t="s">
        <v>35</v>
      </c>
      <c r="Q109" s="46" t="s">
        <v>121</v>
      </c>
      <c r="R109" s="66" t="s">
        <v>158</v>
      </c>
      <c r="S109" s="207">
        <v>120302</v>
      </c>
    </row>
    <row r="110" spans="2:19" ht="39" hidden="1" customHeight="1">
      <c r="C110" s="3">
        <f>2300-1800</f>
        <v>500</v>
      </c>
      <c r="D110" s="20">
        <v>709.89</v>
      </c>
      <c r="F110" s="20"/>
      <c r="G110" s="100">
        <f t="shared" si="14"/>
        <v>45469000</v>
      </c>
      <c r="H110" s="1">
        <f>709+400</f>
        <v>1109</v>
      </c>
      <c r="I110" s="40">
        <f t="shared" si="15"/>
        <v>14432000</v>
      </c>
      <c r="J110" s="49">
        <f t="shared" si="16"/>
        <v>352</v>
      </c>
      <c r="K110" s="6"/>
      <c r="L110" s="6"/>
      <c r="M110" s="191">
        <f t="shared" si="17"/>
        <v>31037000</v>
      </c>
      <c r="N110" s="4">
        <v>757</v>
      </c>
      <c r="O110" s="22">
        <v>41000</v>
      </c>
      <c r="P110" s="6" t="s">
        <v>35</v>
      </c>
      <c r="Q110" s="46" t="s">
        <v>122</v>
      </c>
      <c r="R110" s="66" t="s">
        <v>158</v>
      </c>
      <c r="S110" s="207">
        <v>120303</v>
      </c>
    </row>
    <row r="111" spans="2:19" ht="39" hidden="1" customHeight="1">
      <c r="D111" s="20"/>
      <c r="F111" s="20"/>
      <c r="G111" s="100">
        <f t="shared" si="14"/>
        <v>0</v>
      </c>
      <c r="H111" s="1"/>
      <c r="I111" s="40">
        <f t="shared" si="15"/>
        <v>0</v>
      </c>
      <c r="J111" s="49">
        <f t="shared" si="16"/>
        <v>0</v>
      </c>
      <c r="K111" s="6"/>
      <c r="L111" s="6"/>
      <c r="M111" s="191">
        <f t="shared" si="17"/>
        <v>0</v>
      </c>
      <c r="N111" s="4"/>
      <c r="O111" s="108">
        <v>29300</v>
      </c>
      <c r="P111" s="6" t="s">
        <v>35</v>
      </c>
      <c r="Q111" s="46" t="s">
        <v>123</v>
      </c>
      <c r="R111" s="66" t="s">
        <v>158</v>
      </c>
      <c r="S111" s="207">
        <v>120305</v>
      </c>
    </row>
    <row r="112" spans="2:19" ht="39" hidden="1" customHeight="1">
      <c r="D112" s="20"/>
      <c r="F112" s="20"/>
      <c r="G112" s="100">
        <f t="shared" si="14"/>
        <v>0</v>
      </c>
      <c r="H112" s="1"/>
      <c r="I112" s="40">
        <f t="shared" si="15"/>
        <v>0</v>
      </c>
      <c r="J112" s="49">
        <f t="shared" si="16"/>
        <v>0</v>
      </c>
      <c r="K112" s="6"/>
      <c r="L112" s="6"/>
      <c r="M112" s="191">
        <f t="shared" si="17"/>
        <v>0</v>
      </c>
      <c r="N112" s="4"/>
      <c r="O112" s="22">
        <v>26400</v>
      </c>
      <c r="P112" s="6" t="s">
        <v>35</v>
      </c>
      <c r="Q112" s="46" t="s">
        <v>124</v>
      </c>
      <c r="R112" s="66" t="s">
        <v>158</v>
      </c>
      <c r="S112" s="207">
        <v>120307</v>
      </c>
    </row>
    <row r="113" spans="2:19" ht="39" hidden="1" customHeight="1">
      <c r="D113" s="20">
        <v>800.75</v>
      </c>
      <c r="F113" s="20"/>
      <c r="G113" s="100">
        <f t="shared" si="14"/>
        <v>4416000</v>
      </c>
      <c r="H113" s="203">
        <v>800</v>
      </c>
      <c r="I113" s="40">
        <f t="shared" si="15"/>
        <v>-270480</v>
      </c>
      <c r="J113" s="49">
        <f t="shared" si="16"/>
        <v>-49</v>
      </c>
      <c r="K113" s="6"/>
      <c r="L113" s="6"/>
      <c r="M113" s="191">
        <f t="shared" si="17"/>
        <v>4686480</v>
      </c>
      <c r="N113" s="4">
        <v>849</v>
      </c>
      <c r="O113" s="22">
        <v>5520</v>
      </c>
      <c r="P113" s="6" t="s">
        <v>35</v>
      </c>
      <c r="Q113" s="46" t="s">
        <v>52</v>
      </c>
      <c r="R113" s="66" t="s">
        <v>158</v>
      </c>
      <c r="S113" s="207" t="s">
        <v>50</v>
      </c>
    </row>
    <row r="114" spans="2:19" ht="39" hidden="1" customHeight="1">
      <c r="B114" s="259" t="s">
        <v>270</v>
      </c>
      <c r="C114" s="3" t="s">
        <v>296</v>
      </c>
      <c r="D114" s="110"/>
      <c r="F114" s="110"/>
      <c r="G114" s="100">
        <f t="shared" si="14"/>
        <v>12172000</v>
      </c>
      <c r="H114" s="1">
        <f>2150*250+223250</f>
        <v>760750</v>
      </c>
      <c r="I114" s="40">
        <f t="shared" si="15"/>
        <v>12172000</v>
      </c>
      <c r="J114" s="49">
        <f t="shared" si="16"/>
        <v>760750</v>
      </c>
      <c r="K114" s="6"/>
      <c r="L114" s="6"/>
      <c r="M114" s="191">
        <f t="shared" si="17"/>
        <v>0</v>
      </c>
      <c r="N114" s="4"/>
      <c r="O114" s="22">
        <v>16</v>
      </c>
      <c r="P114" s="6" t="s">
        <v>48</v>
      </c>
      <c r="Q114" s="46" t="s">
        <v>162</v>
      </c>
      <c r="R114" s="66" t="s">
        <v>158</v>
      </c>
      <c r="S114" s="207">
        <v>120701</v>
      </c>
    </row>
    <row r="115" spans="2:19" ht="39" hidden="1" customHeight="1">
      <c r="D115" s="110">
        <v>413319.5</v>
      </c>
      <c r="F115" s="110"/>
      <c r="G115" s="100">
        <f t="shared" si="14"/>
        <v>13226208</v>
      </c>
      <c r="H115" s="1">
        <v>413319</v>
      </c>
      <c r="I115" s="40">
        <f t="shared" si="15"/>
        <v>-3653792</v>
      </c>
      <c r="J115" s="49">
        <f t="shared" si="16"/>
        <v>-114181</v>
      </c>
      <c r="K115" s="6"/>
      <c r="L115" s="6"/>
      <c r="M115" s="191">
        <f t="shared" si="17"/>
        <v>16880000</v>
      </c>
      <c r="N115" s="4">
        <v>527500</v>
      </c>
      <c r="O115" s="22">
        <v>32</v>
      </c>
      <c r="P115" s="6" t="s">
        <v>48</v>
      </c>
      <c r="Q115" s="45" t="s">
        <v>235</v>
      </c>
      <c r="R115" s="66" t="s">
        <v>158</v>
      </c>
      <c r="S115" s="34" t="s">
        <v>234</v>
      </c>
    </row>
    <row r="116" spans="2:19" ht="39" hidden="1" customHeight="1">
      <c r="D116" s="110">
        <v>11000</v>
      </c>
      <c r="F116" s="110"/>
      <c r="G116" s="100">
        <f t="shared" si="14"/>
        <v>6545000</v>
      </c>
      <c r="H116" s="1">
        <v>11000</v>
      </c>
      <c r="I116" s="40">
        <f t="shared" si="15"/>
        <v>6545000</v>
      </c>
      <c r="J116" s="49">
        <f t="shared" si="16"/>
        <v>11000</v>
      </c>
      <c r="K116" s="6"/>
      <c r="L116" s="6"/>
      <c r="M116" s="191">
        <f t="shared" si="17"/>
        <v>0</v>
      </c>
      <c r="N116" s="4"/>
      <c r="O116" s="169">
        <v>595</v>
      </c>
      <c r="P116" s="166" t="s">
        <v>204</v>
      </c>
      <c r="Q116" s="167" t="s">
        <v>205</v>
      </c>
      <c r="R116" s="66" t="s">
        <v>158</v>
      </c>
      <c r="S116" s="207">
        <v>120703</v>
      </c>
    </row>
    <row r="117" spans="2:19" ht="39" hidden="1" customHeight="1">
      <c r="B117" s="259" t="s">
        <v>271</v>
      </c>
      <c r="C117" s="3" t="s">
        <v>297</v>
      </c>
      <c r="D117" s="57">
        <v>17156.169999999998</v>
      </c>
      <c r="F117" s="57"/>
      <c r="G117" s="100">
        <f t="shared" si="14"/>
        <v>100991020</v>
      </c>
      <c r="H117" s="58">
        <f>17156+2150*14+893*14</f>
        <v>59758</v>
      </c>
      <c r="I117" s="40">
        <f t="shared" si="15"/>
        <v>62413390</v>
      </c>
      <c r="J117" s="49">
        <f t="shared" si="16"/>
        <v>36931</v>
      </c>
      <c r="K117" s="7"/>
      <c r="L117" s="59"/>
      <c r="M117" s="191">
        <f t="shared" si="17"/>
        <v>38577630</v>
      </c>
      <c r="N117" s="168">
        <v>22827</v>
      </c>
      <c r="O117" s="60">
        <v>1690</v>
      </c>
      <c r="P117" s="4" t="s">
        <v>44</v>
      </c>
      <c r="Q117" s="74" t="s">
        <v>163</v>
      </c>
      <c r="R117" s="66" t="s">
        <v>158</v>
      </c>
      <c r="S117" s="213">
        <v>120801</v>
      </c>
    </row>
    <row r="118" spans="2:19" ht="39" hidden="1" customHeight="1">
      <c r="B118" s="259" t="s">
        <v>272</v>
      </c>
      <c r="C118" s="3" t="s">
        <v>298</v>
      </c>
      <c r="D118" s="57">
        <v>19358.900000000001</v>
      </c>
      <c r="F118" s="57"/>
      <c r="G118" s="100">
        <f t="shared" si="14"/>
        <v>53861780</v>
      </c>
      <c r="H118" s="58">
        <f>19358+2150*1.3*9+10448</f>
        <v>54961</v>
      </c>
      <c r="I118" s="40">
        <f t="shared" si="15"/>
        <v>32781980</v>
      </c>
      <c r="J118" s="49">
        <f t="shared" si="16"/>
        <v>33451</v>
      </c>
      <c r="K118" s="7"/>
      <c r="L118" s="59"/>
      <c r="M118" s="191">
        <f t="shared" si="17"/>
        <v>21079800</v>
      </c>
      <c r="N118" s="73">
        <v>21510</v>
      </c>
      <c r="O118" s="60">
        <v>980</v>
      </c>
      <c r="P118" s="4" t="s">
        <v>44</v>
      </c>
      <c r="Q118" s="74" t="s">
        <v>164</v>
      </c>
      <c r="R118" s="66" t="s">
        <v>158</v>
      </c>
      <c r="S118" s="213">
        <v>121001</v>
      </c>
    </row>
    <row r="119" spans="2:19" ht="39" hidden="1" customHeight="1">
      <c r="B119" s="259" t="s">
        <v>273</v>
      </c>
      <c r="C119" s="266" t="s">
        <v>299</v>
      </c>
      <c r="D119" s="57">
        <v>64529.75</v>
      </c>
      <c r="F119" s="57"/>
      <c r="G119" s="100">
        <f t="shared" si="14"/>
        <v>155725100</v>
      </c>
      <c r="H119" s="58">
        <f>34827+2150*1.3*30+64529</f>
        <v>183206</v>
      </c>
      <c r="I119" s="40">
        <f t="shared" si="15"/>
        <v>94780100</v>
      </c>
      <c r="J119" s="49">
        <f t="shared" si="16"/>
        <v>111506</v>
      </c>
      <c r="K119" s="7"/>
      <c r="L119" s="59"/>
      <c r="M119" s="191">
        <f t="shared" si="17"/>
        <v>60945000</v>
      </c>
      <c r="N119" s="73">
        <v>71700</v>
      </c>
      <c r="O119" s="60">
        <v>850</v>
      </c>
      <c r="P119" s="4" t="s">
        <v>44</v>
      </c>
      <c r="Q119" s="74" t="s">
        <v>165</v>
      </c>
      <c r="R119" s="66" t="s">
        <v>158</v>
      </c>
      <c r="S119" s="213">
        <v>121002</v>
      </c>
    </row>
    <row r="120" spans="2:19" ht="39" hidden="1" customHeight="1" thickBot="1">
      <c r="D120" s="21"/>
      <c r="F120" s="21"/>
      <c r="G120" s="397">
        <f>SUM(G103:G119)</f>
        <v>1690321608</v>
      </c>
      <c r="H120" s="398"/>
      <c r="I120" s="402">
        <f>SUM(I103:I119)</f>
        <v>974387198</v>
      </c>
      <c r="J120" s="402"/>
      <c r="K120" s="400">
        <f>SUM(K104:K116)</f>
        <v>0</v>
      </c>
      <c r="L120" s="400"/>
      <c r="M120" s="400">
        <f>SUM(M103:M119)</f>
        <v>715934410</v>
      </c>
      <c r="N120" s="400"/>
      <c r="O120" s="39"/>
      <c r="P120" s="115"/>
      <c r="Q120" s="115" t="s">
        <v>11</v>
      </c>
      <c r="R120" s="67"/>
      <c r="S120" s="209"/>
    </row>
    <row r="121" spans="2:19" ht="49.5" hidden="1" customHeight="1" thickBot="1">
      <c r="D121" s="13"/>
      <c r="F121" s="13"/>
      <c r="G121" s="99"/>
      <c r="H121" s="37"/>
      <c r="I121" s="50"/>
      <c r="J121" s="50"/>
      <c r="K121" s="44"/>
      <c r="L121" s="44"/>
      <c r="M121" s="99"/>
      <c r="N121" s="37"/>
      <c r="O121" s="24"/>
      <c r="P121" s="17"/>
      <c r="Q121" s="17"/>
      <c r="R121" s="17"/>
      <c r="S121" s="210"/>
    </row>
    <row r="122" spans="2:19" ht="25.5" hidden="1" customHeight="1">
      <c r="D122" s="77"/>
      <c r="F122" s="173"/>
      <c r="G122" s="382" t="s">
        <v>300</v>
      </c>
      <c r="H122" s="382"/>
      <c r="I122" s="382" t="s">
        <v>145</v>
      </c>
      <c r="J122" s="382"/>
      <c r="K122" s="78"/>
      <c r="L122" s="78"/>
      <c r="M122" s="199"/>
      <c r="N122" s="78"/>
      <c r="O122" s="79"/>
      <c r="P122" s="78"/>
      <c r="Q122" s="80" t="s">
        <v>171</v>
      </c>
      <c r="R122" s="41"/>
      <c r="S122" s="219"/>
    </row>
    <row r="123" spans="2:19" ht="25.5" hidden="1" customHeight="1">
      <c r="D123" s="81"/>
      <c r="F123" s="174"/>
      <c r="G123" s="96"/>
      <c r="H123" s="82"/>
      <c r="I123" s="83"/>
      <c r="J123" s="143" t="s">
        <v>146</v>
      </c>
      <c r="K123" s="144"/>
      <c r="L123" s="144"/>
      <c r="M123" s="200"/>
      <c r="N123" s="144"/>
      <c r="O123" s="135"/>
      <c r="P123" s="144"/>
      <c r="Q123" s="84" t="s">
        <v>292</v>
      </c>
      <c r="R123" s="56"/>
      <c r="S123" s="175"/>
    </row>
    <row r="124" spans="2:19" ht="25.5" hidden="1" customHeight="1" thickBot="1">
      <c r="D124" s="85"/>
      <c r="F124" s="85"/>
      <c r="G124" s="145"/>
      <c r="H124" s="136"/>
      <c r="I124" s="146"/>
      <c r="J124" s="146"/>
      <c r="K124" s="136"/>
      <c r="L124" s="136"/>
      <c r="M124" s="202" t="s">
        <v>183</v>
      </c>
      <c r="N124" s="136"/>
      <c r="O124" s="136"/>
      <c r="P124" s="136"/>
      <c r="Q124" s="86" t="s">
        <v>207</v>
      </c>
      <c r="R124" s="42"/>
      <c r="S124" s="205"/>
    </row>
    <row r="125" spans="2:19" ht="30" hidden="1" customHeight="1">
      <c r="D125" s="385" t="s">
        <v>144</v>
      </c>
      <c r="F125" s="385" t="s">
        <v>144</v>
      </c>
      <c r="G125" s="406" t="s">
        <v>63</v>
      </c>
      <c r="H125" s="406"/>
      <c r="I125" s="409" t="s">
        <v>170</v>
      </c>
      <c r="J125" s="409"/>
      <c r="K125" s="401" t="s">
        <v>2</v>
      </c>
      <c r="L125" s="401"/>
      <c r="M125" s="401" t="s">
        <v>169</v>
      </c>
      <c r="N125" s="401"/>
      <c r="O125" s="426" t="s">
        <v>139</v>
      </c>
      <c r="P125" s="401" t="s">
        <v>1</v>
      </c>
      <c r="Q125" s="401" t="s">
        <v>138</v>
      </c>
      <c r="R125" s="62"/>
      <c r="S125" s="424" t="s">
        <v>0</v>
      </c>
    </row>
    <row r="126" spans="2:19" ht="30" hidden="1" customHeight="1">
      <c r="D126" s="386"/>
      <c r="F126" s="386"/>
      <c r="G126" s="97" t="s">
        <v>143</v>
      </c>
      <c r="H126" s="49" t="s">
        <v>142</v>
      </c>
      <c r="I126" s="49" t="s">
        <v>143</v>
      </c>
      <c r="J126" s="49" t="s">
        <v>142</v>
      </c>
      <c r="K126" s="1" t="s">
        <v>4</v>
      </c>
      <c r="L126" s="1" t="s">
        <v>3</v>
      </c>
      <c r="M126" s="100" t="s">
        <v>141</v>
      </c>
      <c r="N126" s="1" t="s">
        <v>140</v>
      </c>
      <c r="O126" s="427"/>
      <c r="P126" s="422"/>
      <c r="Q126" s="422"/>
      <c r="R126" s="2"/>
      <c r="S126" s="425"/>
    </row>
    <row r="127" spans="2:19" ht="35.25" hidden="1" customHeight="1">
      <c r="D127" s="5"/>
      <c r="F127" s="5"/>
      <c r="G127" s="100"/>
      <c r="H127" s="1"/>
      <c r="I127" s="40">
        <f>J127*O127</f>
        <v>-103292000</v>
      </c>
      <c r="J127" s="49">
        <f>H127-N127</f>
        <v>-136</v>
      </c>
      <c r="K127" s="6"/>
      <c r="L127" s="6"/>
      <c r="M127" s="191">
        <f>N127*O127</f>
        <v>103292000</v>
      </c>
      <c r="N127" s="4">
        <v>136</v>
      </c>
      <c r="O127" s="22">
        <v>759500</v>
      </c>
      <c r="P127" s="6" t="s">
        <v>35</v>
      </c>
      <c r="Q127" s="46" t="s">
        <v>110</v>
      </c>
      <c r="R127" s="46" t="s">
        <v>158</v>
      </c>
      <c r="S127" s="207">
        <v>130804</v>
      </c>
    </row>
    <row r="128" spans="2:19" ht="35.25" hidden="1" customHeight="1">
      <c r="D128" s="5"/>
      <c r="F128" s="5"/>
      <c r="G128" s="100"/>
      <c r="H128" s="1"/>
      <c r="I128" s="40">
        <f>J128*O128</f>
        <v>-217550000</v>
      </c>
      <c r="J128" s="49">
        <f>H128-N128</f>
        <v>-380</v>
      </c>
      <c r="K128" s="6"/>
      <c r="L128" s="6"/>
      <c r="M128" s="191">
        <f>N128*O128</f>
        <v>217550000</v>
      </c>
      <c r="N128" s="4">
        <v>380</v>
      </c>
      <c r="O128" s="22">
        <v>572500</v>
      </c>
      <c r="P128" s="6" t="s">
        <v>35</v>
      </c>
      <c r="Q128" s="45" t="s">
        <v>237</v>
      </c>
      <c r="R128" s="46" t="s">
        <v>158</v>
      </c>
      <c r="S128" s="34" t="s">
        <v>236</v>
      </c>
    </row>
    <row r="129" spans="2:19" ht="35.25" hidden="1" customHeight="1">
      <c r="D129" s="5"/>
      <c r="F129" s="5"/>
      <c r="G129" s="100">
        <f>H129*O129</f>
        <v>7986000</v>
      </c>
      <c r="H129" s="1">
        <v>44</v>
      </c>
      <c r="I129" s="40">
        <f>J129*O129</f>
        <v>7986000</v>
      </c>
      <c r="J129" s="49">
        <f>H129-N129</f>
        <v>44</v>
      </c>
      <c r="K129" s="6"/>
      <c r="L129" s="6"/>
      <c r="M129" s="191">
        <f>N129*O129</f>
        <v>0</v>
      </c>
      <c r="N129" s="4"/>
      <c r="O129" s="22">
        <v>181500</v>
      </c>
      <c r="P129" s="6" t="s">
        <v>155</v>
      </c>
      <c r="Q129" s="46" t="s">
        <v>208</v>
      </c>
      <c r="R129" s="46" t="s">
        <v>158</v>
      </c>
      <c r="S129" s="207">
        <v>131109</v>
      </c>
    </row>
    <row r="130" spans="2:19" ht="27" hidden="1" customHeight="1" thickBot="1">
      <c r="D130" s="21"/>
      <c r="F130" s="21"/>
      <c r="G130" s="397">
        <f>SUM(G127:G129)</f>
        <v>7986000</v>
      </c>
      <c r="H130" s="398"/>
      <c r="I130" s="402">
        <f>SUM(I127:I129)</f>
        <v>-312856000</v>
      </c>
      <c r="J130" s="402"/>
      <c r="K130" s="400">
        <f>SUM(K127:K127)</f>
        <v>0</v>
      </c>
      <c r="L130" s="400"/>
      <c r="M130" s="400">
        <f>SUM(M127:M129)</f>
        <v>320842000</v>
      </c>
      <c r="N130" s="400"/>
      <c r="O130" s="39"/>
      <c r="P130" s="115"/>
      <c r="Q130" s="115" t="s">
        <v>111</v>
      </c>
      <c r="R130" s="15"/>
      <c r="S130" s="209"/>
    </row>
    <row r="131" spans="2:19" ht="25.5" hidden="1" customHeight="1" thickBot="1">
      <c r="D131" s="85"/>
      <c r="F131" s="85"/>
      <c r="G131" s="145"/>
      <c r="H131" s="136"/>
      <c r="I131" s="146"/>
      <c r="J131" s="146"/>
      <c r="K131" s="136"/>
      <c r="L131" s="136"/>
      <c r="M131" s="202" t="s">
        <v>183</v>
      </c>
      <c r="N131" s="136"/>
      <c r="O131" s="136"/>
      <c r="P131" s="136"/>
      <c r="Q131" s="86" t="s">
        <v>209</v>
      </c>
      <c r="R131" s="42"/>
      <c r="S131" s="205"/>
    </row>
    <row r="132" spans="2:19" ht="43.5" hidden="1" customHeight="1">
      <c r="D132" s="20">
        <v>7280</v>
      </c>
      <c r="F132" s="20"/>
      <c r="G132" s="100">
        <f t="shared" ref="G132:G142" si="18">H132*O132</f>
        <v>531440000</v>
      </c>
      <c r="H132" s="1">
        <v>7280</v>
      </c>
      <c r="I132" s="40">
        <f>J132*O132</f>
        <v>-577941000</v>
      </c>
      <c r="J132" s="49">
        <f>H132-N132</f>
        <v>-7917</v>
      </c>
      <c r="K132" s="6"/>
      <c r="L132" s="6"/>
      <c r="M132" s="113">
        <f t="shared" ref="M132:M142" si="19">N132*O132</f>
        <v>1109381000</v>
      </c>
      <c r="N132" s="4">
        <v>15197</v>
      </c>
      <c r="O132" s="22">
        <v>73000</v>
      </c>
      <c r="P132" s="6" t="s">
        <v>35</v>
      </c>
      <c r="Q132" s="45" t="s">
        <v>239</v>
      </c>
      <c r="R132" s="65" t="s">
        <v>158</v>
      </c>
      <c r="S132" s="34" t="s">
        <v>238</v>
      </c>
    </row>
    <row r="133" spans="2:19" ht="43.5" hidden="1" customHeight="1">
      <c r="D133" s="20"/>
      <c r="F133" s="20"/>
      <c r="G133" s="100">
        <f t="shared" si="18"/>
        <v>0</v>
      </c>
      <c r="H133" s="1"/>
      <c r="I133" s="40">
        <f t="shared" ref="I133:I142" si="20">J133*O133</f>
        <v>0</v>
      </c>
      <c r="J133" s="49">
        <f t="shared" ref="J133:J142" si="21">H133-N133</f>
        <v>0</v>
      </c>
      <c r="K133" s="6"/>
      <c r="L133" s="6"/>
      <c r="M133" s="100">
        <f t="shared" si="19"/>
        <v>0</v>
      </c>
      <c r="N133" s="4"/>
      <c r="O133" s="22">
        <v>6170</v>
      </c>
      <c r="P133" s="6" t="s">
        <v>35</v>
      </c>
      <c r="Q133" s="45" t="s">
        <v>166</v>
      </c>
      <c r="R133" s="65" t="s">
        <v>158</v>
      </c>
      <c r="S133" s="207">
        <v>140701</v>
      </c>
    </row>
    <row r="134" spans="2:19" ht="43.5" hidden="1" customHeight="1">
      <c r="D134" s="20"/>
      <c r="F134" s="20"/>
      <c r="G134" s="100">
        <f t="shared" si="18"/>
        <v>1064000</v>
      </c>
      <c r="H134" s="1">
        <v>140</v>
      </c>
      <c r="I134" s="40">
        <f t="shared" si="20"/>
        <v>1064000</v>
      </c>
      <c r="J134" s="49">
        <f t="shared" si="21"/>
        <v>140</v>
      </c>
      <c r="K134" s="6"/>
      <c r="L134" s="6"/>
      <c r="M134" s="100">
        <f t="shared" si="19"/>
        <v>0</v>
      </c>
      <c r="N134" s="4"/>
      <c r="O134" s="22">
        <v>7600</v>
      </c>
      <c r="P134" s="6" t="s">
        <v>35</v>
      </c>
      <c r="Q134" s="45" t="s">
        <v>136</v>
      </c>
      <c r="R134" s="65" t="s">
        <v>158</v>
      </c>
      <c r="S134" s="207">
        <v>140704</v>
      </c>
    </row>
    <row r="135" spans="2:19" ht="43.5" hidden="1" customHeight="1">
      <c r="D135" s="20"/>
      <c r="F135" s="20"/>
      <c r="G135" s="100">
        <f t="shared" si="18"/>
        <v>455000</v>
      </c>
      <c r="H135" s="1">
        <v>140</v>
      </c>
      <c r="I135" s="40">
        <f t="shared" si="20"/>
        <v>455000</v>
      </c>
      <c r="J135" s="49">
        <f t="shared" si="21"/>
        <v>140</v>
      </c>
      <c r="K135" s="6"/>
      <c r="L135" s="6"/>
      <c r="M135" s="100">
        <f t="shared" si="19"/>
        <v>0</v>
      </c>
      <c r="N135" s="4"/>
      <c r="O135" s="22">
        <v>3250</v>
      </c>
      <c r="P135" s="6" t="s">
        <v>35</v>
      </c>
      <c r="Q135" s="45" t="s">
        <v>167</v>
      </c>
      <c r="R135" s="65" t="s">
        <v>158</v>
      </c>
      <c r="S135" s="207">
        <v>140801</v>
      </c>
    </row>
    <row r="136" spans="2:19" ht="43.5" hidden="1" customHeight="1">
      <c r="B136" s="259">
        <v>950</v>
      </c>
      <c r="D136" s="20"/>
      <c r="F136" s="20"/>
      <c r="G136" s="100">
        <f t="shared" si="18"/>
        <v>72485000</v>
      </c>
      <c r="H136" s="1">
        <v>950</v>
      </c>
      <c r="I136" s="40">
        <f t="shared" si="20"/>
        <v>72485000</v>
      </c>
      <c r="J136" s="49">
        <f t="shared" si="21"/>
        <v>950</v>
      </c>
      <c r="K136" s="6"/>
      <c r="L136" s="6"/>
      <c r="M136" s="100">
        <f t="shared" si="19"/>
        <v>0</v>
      </c>
      <c r="N136" s="4"/>
      <c r="O136" s="22">
        <v>76300</v>
      </c>
      <c r="P136" s="6" t="s">
        <v>35</v>
      </c>
      <c r="Q136" s="45" t="s">
        <v>275</v>
      </c>
      <c r="R136" s="65" t="s">
        <v>158</v>
      </c>
      <c r="S136" s="207" t="s">
        <v>274</v>
      </c>
    </row>
    <row r="137" spans="2:19" ht="43.5" hidden="1" customHeight="1">
      <c r="D137" s="20"/>
      <c r="F137" s="20"/>
      <c r="G137" s="100">
        <f t="shared" si="18"/>
        <v>0</v>
      </c>
      <c r="H137" s="1"/>
      <c r="I137" s="40">
        <f t="shared" si="20"/>
        <v>0</v>
      </c>
      <c r="J137" s="49">
        <f t="shared" si="21"/>
        <v>0</v>
      </c>
      <c r="K137" s="6"/>
      <c r="L137" s="6"/>
      <c r="M137" s="100">
        <f t="shared" si="19"/>
        <v>0</v>
      </c>
      <c r="N137" s="4"/>
      <c r="O137" s="22">
        <v>9670</v>
      </c>
      <c r="P137" s="6" t="s">
        <v>35</v>
      </c>
      <c r="Q137" s="45" t="s">
        <v>137</v>
      </c>
      <c r="R137" s="65" t="s">
        <v>158</v>
      </c>
      <c r="S137" s="207">
        <v>141002</v>
      </c>
    </row>
    <row r="138" spans="2:19" ht="43.5" hidden="1" customHeight="1">
      <c r="D138" s="20">
        <v>400</v>
      </c>
      <c r="F138" s="20"/>
      <c r="G138" s="100">
        <f t="shared" si="18"/>
        <v>13800000</v>
      </c>
      <c r="H138" s="1">
        <v>400</v>
      </c>
      <c r="I138" s="40">
        <f t="shared" si="20"/>
        <v>13800000</v>
      </c>
      <c r="J138" s="49">
        <f t="shared" si="21"/>
        <v>400</v>
      </c>
      <c r="K138" s="6"/>
      <c r="L138" s="6"/>
      <c r="M138" s="100">
        <f t="shared" si="19"/>
        <v>0</v>
      </c>
      <c r="N138" s="4"/>
      <c r="O138" s="22">
        <v>34500</v>
      </c>
      <c r="P138" s="6" t="s">
        <v>35</v>
      </c>
      <c r="Q138" s="45" t="s">
        <v>253</v>
      </c>
      <c r="R138" s="65" t="s">
        <v>158</v>
      </c>
      <c r="S138" s="34" t="s">
        <v>251</v>
      </c>
    </row>
    <row r="139" spans="2:19" ht="43.5" hidden="1" customHeight="1">
      <c r="D139" s="20">
        <v>600</v>
      </c>
      <c r="F139" s="20"/>
      <c r="G139" s="100">
        <f t="shared" si="18"/>
        <v>17160000</v>
      </c>
      <c r="H139" s="1">
        <v>600</v>
      </c>
      <c r="I139" s="40">
        <f t="shared" si="20"/>
        <v>17160000</v>
      </c>
      <c r="J139" s="49">
        <f t="shared" si="21"/>
        <v>600</v>
      </c>
      <c r="K139" s="6"/>
      <c r="L139" s="6"/>
      <c r="M139" s="100">
        <f t="shared" si="19"/>
        <v>0</v>
      </c>
      <c r="N139" s="4"/>
      <c r="O139" s="22">
        <v>28600</v>
      </c>
      <c r="P139" s="6" t="s">
        <v>35</v>
      </c>
      <c r="Q139" s="45" t="s">
        <v>254</v>
      </c>
      <c r="R139" s="65" t="s">
        <v>158</v>
      </c>
      <c r="S139" s="34" t="s">
        <v>252</v>
      </c>
    </row>
    <row r="140" spans="2:19" ht="32.25" hidden="1" customHeight="1">
      <c r="B140" s="259" t="s">
        <v>276</v>
      </c>
      <c r="D140" s="20">
        <v>92520</v>
      </c>
      <c r="F140" s="20"/>
      <c r="G140" s="100">
        <f t="shared" si="18"/>
        <v>99048600</v>
      </c>
      <c r="H140" s="1">
        <f>92520+9*950</f>
        <v>101070</v>
      </c>
      <c r="I140" s="40">
        <f t="shared" si="20"/>
        <v>-34988940</v>
      </c>
      <c r="J140" s="49">
        <f t="shared" si="21"/>
        <v>-35703</v>
      </c>
      <c r="K140" s="6"/>
      <c r="L140" s="6"/>
      <c r="M140" s="100">
        <f t="shared" si="19"/>
        <v>134037540</v>
      </c>
      <c r="N140" s="4">
        <v>136773</v>
      </c>
      <c r="O140" s="104">
        <v>980</v>
      </c>
      <c r="P140" s="4" t="s">
        <v>44</v>
      </c>
      <c r="Q140" s="45" t="s">
        <v>68</v>
      </c>
      <c r="R140" s="65" t="s">
        <v>158</v>
      </c>
      <c r="S140" s="207">
        <v>141901</v>
      </c>
    </row>
    <row r="141" spans="2:19" ht="32.25" hidden="1" customHeight="1">
      <c r="B141" s="259" t="s">
        <v>277</v>
      </c>
      <c r="D141" s="20">
        <v>205600</v>
      </c>
      <c r="F141" s="20"/>
      <c r="G141" s="100">
        <f t="shared" si="18"/>
        <v>201017000</v>
      </c>
      <c r="H141" s="1">
        <f>205600+20*950</f>
        <v>224600</v>
      </c>
      <c r="I141" s="40">
        <f t="shared" si="20"/>
        <v>-71009300</v>
      </c>
      <c r="J141" s="49">
        <f t="shared" si="21"/>
        <v>-79340</v>
      </c>
      <c r="K141" s="6"/>
      <c r="L141" s="6"/>
      <c r="M141" s="100">
        <f t="shared" si="19"/>
        <v>272026300</v>
      </c>
      <c r="N141" s="4">
        <v>303940</v>
      </c>
      <c r="O141" s="22">
        <v>895</v>
      </c>
      <c r="P141" s="4" t="s">
        <v>44</v>
      </c>
      <c r="Q141" s="45" t="s">
        <v>242</v>
      </c>
      <c r="R141" s="65" t="s">
        <v>158</v>
      </c>
      <c r="S141" s="207">
        <v>141902</v>
      </c>
    </row>
    <row r="142" spans="2:19" ht="32.25" hidden="1" customHeight="1">
      <c r="B142" s="259" t="s">
        <v>278</v>
      </c>
      <c r="D142" s="57">
        <v>102800</v>
      </c>
      <c r="F142" s="57"/>
      <c r="G142" s="100">
        <f t="shared" si="18"/>
        <v>80294500</v>
      </c>
      <c r="H142" s="224">
        <f>102800+10*950</f>
        <v>112300</v>
      </c>
      <c r="I142" s="40">
        <f t="shared" si="20"/>
        <v>-28364050</v>
      </c>
      <c r="J142" s="49">
        <f t="shared" si="21"/>
        <v>-39670</v>
      </c>
      <c r="K142" s="7"/>
      <c r="L142" s="7"/>
      <c r="M142" s="100">
        <f t="shared" si="19"/>
        <v>108658550</v>
      </c>
      <c r="N142" s="59">
        <v>151970</v>
      </c>
      <c r="O142" s="60">
        <v>715</v>
      </c>
      <c r="P142" s="4" t="s">
        <v>44</v>
      </c>
      <c r="Q142" s="247" t="s">
        <v>241</v>
      </c>
      <c r="R142" s="65" t="s">
        <v>158</v>
      </c>
      <c r="S142" s="248" t="s">
        <v>240</v>
      </c>
    </row>
    <row r="143" spans="2:19" ht="29.25" hidden="1" customHeight="1" thickBot="1">
      <c r="D143" s="21"/>
      <c r="F143" s="21"/>
      <c r="G143" s="397">
        <f>SUM(G132:G142)</f>
        <v>1016764100</v>
      </c>
      <c r="H143" s="398"/>
      <c r="I143" s="432">
        <f>SUM(I132:I142)</f>
        <v>-607339290</v>
      </c>
      <c r="J143" s="432"/>
      <c r="K143" s="433">
        <f>SUM(K132:K141)</f>
        <v>0</v>
      </c>
      <c r="L143" s="433"/>
      <c r="M143" s="400">
        <f>SUM(M132:M142)</f>
        <v>1624103390</v>
      </c>
      <c r="N143" s="400"/>
      <c r="O143" s="400"/>
      <c r="P143" s="400"/>
      <c r="Q143" s="170" t="s">
        <v>13</v>
      </c>
      <c r="R143" s="68"/>
      <c r="S143" s="217"/>
    </row>
    <row r="144" spans="2:19" ht="49.5" hidden="1" customHeight="1">
      <c r="D144" s="13"/>
      <c r="F144" s="13"/>
      <c r="G144" s="99"/>
      <c r="H144" s="11"/>
      <c r="I144" s="54"/>
      <c r="J144" s="54"/>
      <c r="K144" s="87"/>
      <c r="L144" s="87"/>
      <c r="M144" s="99"/>
      <c r="N144" s="37"/>
      <c r="O144" s="37"/>
      <c r="P144" s="37"/>
      <c r="Q144" s="88"/>
      <c r="R144" s="88"/>
      <c r="S144" s="218"/>
    </row>
    <row r="145" spans="2:19" ht="49.5" hidden="1" customHeight="1" thickBot="1">
      <c r="D145" s="13"/>
      <c r="F145" s="13"/>
      <c r="G145" s="99"/>
      <c r="H145" s="11"/>
      <c r="I145" s="54"/>
      <c r="J145" s="54"/>
      <c r="K145" s="87"/>
      <c r="L145" s="87"/>
      <c r="M145" s="99"/>
      <c r="N145" s="37"/>
      <c r="O145" s="37"/>
      <c r="P145" s="37"/>
      <c r="Q145" s="88"/>
      <c r="R145" s="88"/>
      <c r="S145" s="218"/>
    </row>
    <row r="146" spans="2:19" ht="25.5" hidden="1" customHeight="1">
      <c r="D146" s="77"/>
      <c r="F146" s="173"/>
      <c r="G146" s="382" t="s">
        <v>300</v>
      </c>
      <c r="H146" s="382"/>
      <c r="I146" s="382" t="s">
        <v>145</v>
      </c>
      <c r="J146" s="382"/>
      <c r="K146" s="78"/>
      <c r="L146" s="78"/>
      <c r="M146" s="199"/>
      <c r="N146" s="78"/>
      <c r="O146" s="79"/>
      <c r="P146" s="78"/>
      <c r="Q146" s="80" t="s">
        <v>171</v>
      </c>
      <c r="R146" s="41"/>
      <c r="S146" s="219"/>
    </row>
    <row r="147" spans="2:19" ht="25.5" hidden="1" customHeight="1">
      <c r="D147" s="81"/>
      <c r="F147" s="174"/>
      <c r="G147" s="96"/>
      <c r="H147" s="82"/>
      <c r="I147" s="83"/>
      <c r="J147" s="143" t="s">
        <v>146</v>
      </c>
      <c r="K147" s="144"/>
      <c r="L147" s="144"/>
      <c r="M147" s="200"/>
      <c r="N147" s="144"/>
      <c r="O147" s="135"/>
      <c r="P147" s="144"/>
      <c r="Q147" s="84" t="s">
        <v>292</v>
      </c>
      <c r="R147" s="56"/>
      <c r="S147" s="175"/>
    </row>
    <row r="148" spans="2:19" ht="25.5" hidden="1" customHeight="1" thickBot="1">
      <c r="D148" s="85"/>
      <c r="F148" s="85"/>
      <c r="G148" s="145"/>
      <c r="H148" s="136"/>
      <c r="I148" s="146"/>
      <c r="J148" s="146"/>
      <c r="K148" s="136"/>
      <c r="L148" s="136"/>
      <c r="M148" s="202" t="s">
        <v>183</v>
      </c>
      <c r="N148" s="136"/>
      <c r="O148" s="136"/>
      <c r="P148" s="136"/>
      <c r="Q148" s="86" t="s">
        <v>210</v>
      </c>
      <c r="R148" s="42"/>
      <c r="S148" s="205"/>
    </row>
    <row r="149" spans="2:19" ht="34.5" hidden="1" customHeight="1">
      <c r="C149" s="3" t="s">
        <v>291</v>
      </c>
      <c r="D149" s="20"/>
      <c r="F149" s="20"/>
      <c r="G149" s="100">
        <f>H149*O149</f>
        <v>6300000</v>
      </c>
      <c r="H149" s="1">
        <v>700</v>
      </c>
      <c r="I149" s="40">
        <f>J149*O149</f>
        <v>6300000</v>
      </c>
      <c r="J149" s="49">
        <f>H149-N149</f>
        <v>700</v>
      </c>
      <c r="K149" s="4"/>
      <c r="L149" s="4"/>
      <c r="M149" s="191"/>
      <c r="N149" s="4"/>
      <c r="O149" s="22">
        <v>9000</v>
      </c>
      <c r="P149" s="4" t="s">
        <v>36</v>
      </c>
      <c r="Q149" s="4" t="s">
        <v>98</v>
      </c>
      <c r="R149" s="64" t="s">
        <v>158</v>
      </c>
      <c r="S149" s="32" t="s">
        <v>97</v>
      </c>
    </row>
    <row r="150" spans="2:19" ht="34.5" hidden="1" customHeight="1">
      <c r="D150" s="20"/>
      <c r="F150" s="20"/>
      <c r="G150" s="100"/>
      <c r="H150" s="1"/>
      <c r="I150" s="40">
        <f>J150*O150</f>
        <v>0</v>
      </c>
      <c r="J150" s="49">
        <f>H150-N150</f>
        <v>0</v>
      </c>
      <c r="K150" s="4"/>
      <c r="L150" s="4"/>
      <c r="M150" s="191"/>
      <c r="N150" s="4"/>
      <c r="O150" s="22">
        <v>43200</v>
      </c>
      <c r="P150" s="4" t="s">
        <v>36</v>
      </c>
      <c r="Q150" s="4" t="s">
        <v>106</v>
      </c>
      <c r="R150" s="64" t="s">
        <v>158</v>
      </c>
      <c r="S150" s="32" t="s">
        <v>105</v>
      </c>
    </row>
    <row r="151" spans="2:19" s="171" customFormat="1" ht="34.5" hidden="1" customHeight="1" thickBot="1">
      <c r="B151" s="260"/>
      <c r="C151" s="263"/>
      <c r="D151" s="131"/>
      <c r="F151" s="131"/>
      <c r="G151" s="397">
        <f>SUM(G149:G150)</f>
        <v>6300000</v>
      </c>
      <c r="H151" s="398"/>
      <c r="I151" s="399">
        <f>SUM(I149:I150)</f>
        <v>6300000</v>
      </c>
      <c r="J151" s="399"/>
      <c r="K151" s="411">
        <f>SUM(K149:K150)</f>
        <v>0</v>
      </c>
      <c r="L151" s="411"/>
      <c r="M151" s="411">
        <f>SUM(M149:M150)</f>
        <v>0</v>
      </c>
      <c r="N151" s="411"/>
      <c r="O151" s="133"/>
      <c r="P151" s="132"/>
      <c r="Q151" s="134" t="s">
        <v>60</v>
      </c>
      <c r="R151" s="172"/>
      <c r="S151" s="217"/>
    </row>
    <row r="152" spans="2:19" ht="32.25" hidden="1" customHeight="1">
      <c r="D152" s="177"/>
      <c r="F152" s="177"/>
      <c r="G152" s="103"/>
      <c r="H152" s="75"/>
      <c r="I152" s="40">
        <f>J152*O152</f>
        <v>0</v>
      </c>
      <c r="J152" s="49">
        <f>H152-N152</f>
        <v>0</v>
      </c>
      <c r="K152" s="75"/>
      <c r="L152" s="75"/>
      <c r="M152" s="191"/>
      <c r="N152" s="75"/>
      <c r="O152" s="90">
        <v>40700</v>
      </c>
      <c r="P152" s="4" t="s">
        <v>125</v>
      </c>
      <c r="Q152" s="71" t="s">
        <v>168</v>
      </c>
      <c r="R152" s="72" t="s">
        <v>158</v>
      </c>
      <c r="S152" s="214">
        <v>190103</v>
      </c>
    </row>
    <row r="153" spans="2:19" ht="32.25" hidden="1" customHeight="1">
      <c r="D153" s="177">
        <v>4369.33</v>
      </c>
      <c r="F153" s="177"/>
      <c r="G153" s="103">
        <f>H153*O153</f>
        <v>27087800</v>
      </c>
      <c r="H153" s="75">
        <v>4369</v>
      </c>
      <c r="I153" s="40">
        <f>J153*O153</f>
        <v>27087800</v>
      </c>
      <c r="J153" s="49">
        <f>H153-N153</f>
        <v>4369</v>
      </c>
      <c r="K153" s="75"/>
      <c r="L153" s="75"/>
      <c r="M153" s="191"/>
      <c r="N153" s="75"/>
      <c r="O153" s="90">
        <v>6200</v>
      </c>
      <c r="P153" s="4" t="s">
        <v>125</v>
      </c>
      <c r="Q153" s="71" t="s">
        <v>256</v>
      </c>
      <c r="R153" s="72" t="s">
        <v>158</v>
      </c>
      <c r="S153" s="212" t="s">
        <v>255</v>
      </c>
    </row>
    <row r="154" spans="2:19" ht="32.25" hidden="1" customHeight="1">
      <c r="B154" s="259">
        <v>450</v>
      </c>
      <c r="C154" s="3">
        <v>300</v>
      </c>
      <c r="D154" s="5">
        <v>348.75</v>
      </c>
      <c r="F154" s="5"/>
      <c r="G154" s="103">
        <f>H154*O154</f>
        <v>61048800</v>
      </c>
      <c r="H154" s="1">
        <f>348+300+450</f>
        <v>1098</v>
      </c>
      <c r="I154" s="40">
        <f>J154*O154</f>
        <v>61048800</v>
      </c>
      <c r="J154" s="49">
        <f>H154-N154</f>
        <v>1098</v>
      </c>
      <c r="K154" s="4"/>
      <c r="L154" s="4"/>
      <c r="M154" s="191"/>
      <c r="N154" s="4"/>
      <c r="O154" s="22">
        <v>55600</v>
      </c>
      <c r="P154" s="4" t="s">
        <v>108</v>
      </c>
      <c r="Q154" s="46" t="s">
        <v>150</v>
      </c>
      <c r="R154" s="72" t="s">
        <v>158</v>
      </c>
      <c r="S154" s="32" t="s">
        <v>149</v>
      </c>
    </row>
    <row r="155" spans="2:19" ht="32.25" hidden="1" customHeight="1">
      <c r="D155" s="57"/>
      <c r="F155" s="57"/>
      <c r="G155" s="103">
        <f>H155*O155</f>
        <v>10680000</v>
      </c>
      <c r="H155" s="1">
        <v>120</v>
      </c>
      <c r="I155" s="40">
        <f>J155*O155</f>
        <v>-7120000</v>
      </c>
      <c r="J155" s="49">
        <f>H155-N155</f>
        <v>-80</v>
      </c>
      <c r="K155" s="59"/>
      <c r="L155" s="59"/>
      <c r="M155" s="191">
        <f>N155*O155</f>
        <v>17800000</v>
      </c>
      <c r="N155" s="59">
        <v>200</v>
      </c>
      <c r="O155" s="60">
        <v>89000</v>
      </c>
      <c r="P155" s="59" t="s">
        <v>64</v>
      </c>
      <c r="Q155" s="247" t="s">
        <v>244</v>
      </c>
      <c r="R155" s="72" t="s">
        <v>159</v>
      </c>
      <c r="S155" s="76" t="s">
        <v>243</v>
      </c>
    </row>
    <row r="156" spans="2:19" s="178" customFormat="1" ht="32.25" hidden="1" customHeight="1" thickBot="1">
      <c r="B156" s="261"/>
      <c r="C156" s="264"/>
      <c r="D156" s="179"/>
      <c r="F156" s="179"/>
      <c r="G156" s="407">
        <f>SUM(G152:G155)</f>
        <v>98816600</v>
      </c>
      <c r="H156" s="408"/>
      <c r="I156" s="403">
        <f>SUM(I152:I155)</f>
        <v>81016600</v>
      </c>
      <c r="J156" s="403"/>
      <c r="K156" s="434" t="e">
        <f>SUM(#REF!)</f>
        <v>#REF!</v>
      </c>
      <c r="L156" s="434"/>
      <c r="M156" s="434">
        <f>SUM(M152:M155)</f>
        <v>17800000</v>
      </c>
      <c r="N156" s="434"/>
      <c r="O156" s="182"/>
      <c r="P156" s="181"/>
      <c r="Q156" s="183" t="s">
        <v>107</v>
      </c>
      <c r="R156" s="184"/>
      <c r="S156" s="221"/>
    </row>
    <row r="157" spans="2:19" ht="25.5" hidden="1" customHeight="1" thickBot="1">
      <c r="D157" s="85"/>
      <c r="F157" s="85"/>
      <c r="G157" s="145"/>
      <c r="H157" s="136"/>
      <c r="I157" s="146"/>
      <c r="J157" s="146"/>
      <c r="K157" s="136"/>
      <c r="L157" s="136"/>
      <c r="M157" s="202" t="s">
        <v>183</v>
      </c>
      <c r="N157" s="136"/>
      <c r="O157" s="136"/>
      <c r="P157" s="136"/>
      <c r="Q157" s="86" t="s">
        <v>211</v>
      </c>
      <c r="R157" s="42"/>
      <c r="S157" s="205"/>
    </row>
    <row r="158" spans="2:19" ht="33" hidden="1" customHeight="1">
      <c r="B158" s="265">
        <f>(C105+B105)*0.25*45</f>
        <v>34233.75</v>
      </c>
      <c r="D158" s="20">
        <v>32089.8</v>
      </c>
      <c r="F158" s="20"/>
      <c r="G158" s="100">
        <f>H158*O158</f>
        <v>24207530</v>
      </c>
      <c r="H158" s="1">
        <f>32089+34233</f>
        <v>66322</v>
      </c>
      <c r="I158" s="40">
        <f>J158*O158</f>
        <v>11620870</v>
      </c>
      <c r="J158" s="49">
        <f>H158-N158</f>
        <v>31838</v>
      </c>
      <c r="K158" s="4"/>
      <c r="L158" s="4"/>
      <c r="M158" s="191">
        <f>N158*O158</f>
        <v>12586660</v>
      </c>
      <c r="N158" s="4">
        <v>34484</v>
      </c>
      <c r="O158" s="22">
        <v>365</v>
      </c>
      <c r="P158" s="4" t="s">
        <v>59</v>
      </c>
      <c r="Q158" s="4" t="s">
        <v>56</v>
      </c>
      <c r="R158" s="64" t="s">
        <v>158</v>
      </c>
      <c r="S158" s="207" t="s">
        <v>53</v>
      </c>
    </row>
    <row r="159" spans="2:19" ht="33" hidden="1" customHeight="1">
      <c r="B159" s="265">
        <f>(C105+B105)*0.25*75</f>
        <v>57056.25</v>
      </c>
      <c r="D159" s="20">
        <v>27643.439999999999</v>
      </c>
      <c r="F159" s="20"/>
      <c r="G159" s="100">
        <f>H159*O159</f>
        <v>20751255</v>
      </c>
      <c r="H159" s="1">
        <f>27643+57056</f>
        <v>84699</v>
      </c>
      <c r="I159" s="40">
        <f>J159*O159</f>
        <v>13560995</v>
      </c>
      <c r="J159" s="49">
        <f>H159-N159</f>
        <v>55351</v>
      </c>
      <c r="K159" s="4"/>
      <c r="L159" s="4"/>
      <c r="M159" s="191">
        <f>N159*O159</f>
        <v>7190260</v>
      </c>
      <c r="N159" s="4">
        <v>29348</v>
      </c>
      <c r="O159" s="22">
        <v>245</v>
      </c>
      <c r="P159" s="4" t="s">
        <v>59</v>
      </c>
      <c r="Q159" s="4" t="s">
        <v>57</v>
      </c>
      <c r="R159" s="64" t="s">
        <v>158</v>
      </c>
      <c r="S159" s="207" t="s">
        <v>54</v>
      </c>
    </row>
    <row r="160" spans="2:19" ht="33" hidden="1" customHeight="1">
      <c r="B160" s="265">
        <f>(C105+B105)*0.25*150</f>
        <v>114112.5</v>
      </c>
      <c r="D160" s="20">
        <v>10067.700000000001</v>
      </c>
      <c r="F160" s="20"/>
      <c r="G160" s="100">
        <f>H160*O160</f>
        <v>1560385</v>
      </c>
      <c r="H160" s="1">
        <v>10067</v>
      </c>
      <c r="I160" s="40">
        <f>J160*O160</f>
        <v>91295</v>
      </c>
      <c r="J160" s="49">
        <f>H160-N160</f>
        <v>589</v>
      </c>
      <c r="K160" s="4"/>
      <c r="L160" s="4"/>
      <c r="M160" s="191">
        <f>N160*O160</f>
        <v>1469090</v>
      </c>
      <c r="N160" s="4">
        <v>9478</v>
      </c>
      <c r="O160" s="22">
        <v>155</v>
      </c>
      <c r="P160" s="4" t="s">
        <v>59</v>
      </c>
      <c r="Q160" s="4" t="s">
        <v>58</v>
      </c>
      <c r="R160" s="64" t="s">
        <v>158</v>
      </c>
      <c r="S160" s="207" t="s">
        <v>55</v>
      </c>
    </row>
    <row r="161" spans="2:28" ht="33" hidden="1" customHeight="1">
      <c r="B161" s="265"/>
      <c r="D161" s="20">
        <v>10067.700000000001</v>
      </c>
      <c r="F161" s="20"/>
      <c r="G161" s="100">
        <f>H161*O161</f>
        <v>1258375</v>
      </c>
      <c r="H161" s="1">
        <v>10067</v>
      </c>
      <c r="I161" s="40">
        <f>J161*O161</f>
        <v>73625</v>
      </c>
      <c r="J161" s="49">
        <f>H161-N161</f>
        <v>589</v>
      </c>
      <c r="K161" s="4"/>
      <c r="L161" s="4"/>
      <c r="M161" s="191">
        <f>N161*O161</f>
        <v>1184750</v>
      </c>
      <c r="N161" s="4">
        <v>9478</v>
      </c>
      <c r="O161" s="22">
        <v>125</v>
      </c>
      <c r="P161" s="4" t="s">
        <v>59</v>
      </c>
      <c r="Q161" s="4" t="s">
        <v>113</v>
      </c>
      <c r="R161" s="64" t="s">
        <v>158</v>
      </c>
      <c r="S161" s="207" t="s">
        <v>112</v>
      </c>
    </row>
    <row r="162" spans="2:28" ht="33" hidden="1" customHeight="1">
      <c r="B162" s="265"/>
      <c r="D162" s="20">
        <v>3355.9</v>
      </c>
      <c r="F162" s="20"/>
      <c r="G162" s="100">
        <f>H162*O162</f>
        <v>369050</v>
      </c>
      <c r="H162" s="1">
        <v>3355</v>
      </c>
      <c r="I162" s="40">
        <f>J162*O162</f>
        <v>21560</v>
      </c>
      <c r="J162" s="49">
        <f>H162-N162</f>
        <v>196</v>
      </c>
      <c r="K162" s="4"/>
      <c r="L162" s="4"/>
      <c r="M162" s="191">
        <f>N162*O162</f>
        <v>347490</v>
      </c>
      <c r="N162" s="4">
        <v>3159</v>
      </c>
      <c r="O162" s="22">
        <v>110</v>
      </c>
      <c r="P162" s="4" t="s">
        <v>59</v>
      </c>
      <c r="Q162" s="4" t="s">
        <v>127</v>
      </c>
      <c r="R162" s="64" t="s">
        <v>158</v>
      </c>
      <c r="S162" s="207" t="s">
        <v>126</v>
      </c>
    </row>
    <row r="163" spans="2:28" s="178" customFormat="1" ht="33" hidden="1" customHeight="1" thickBot="1">
      <c r="B163" s="261"/>
      <c r="C163" s="264"/>
      <c r="D163" s="179"/>
      <c r="F163" s="179"/>
      <c r="G163" s="407">
        <f>SUM(G158:G162)</f>
        <v>48146595</v>
      </c>
      <c r="H163" s="408"/>
      <c r="I163" s="403">
        <f>SUM(I158:I162)</f>
        <v>25368345</v>
      </c>
      <c r="J163" s="403"/>
      <c r="K163" s="434">
        <f>SUM(K158:K162)</f>
        <v>0</v>
      </c>
      <c r="L163" s="434"/>
      <c r="M163" s="434">
        <f>SUM(M158:M162)</f>
        <v>22778250</v>
      </c>
      <c r="N163" s="434"/>
      <c r="O163" s="182"/>
      <c r="P163" s="181"/>
      <c r="Q163" s="181" t="s">
        <v>14</v>
      </c>
      <c r="R163" s="180"/>
      <c r="S163" s="221"/>
    </row>
    <row r="164" spans="2:28" ht="49.5" hidden="1" customHeight="1"/>
    <row r="165" spans="2:28" ht="49.5" hidden="1" customHeight="1"/>
    <row r="166" spans="2:28" ht="49.5" hidden="1" customHeight="1"/>
    <row r="167" spans="2:28" ht="49.5" hidden="1" customHeight="1">
      <c r="T167" s="3"/>
      <c r="U167" s="3"/>
      <c r="V167" s="3"/>
      <c r="W167" s="3"/>
      <c r="X167" s="3"/>
      <c r="Y167" s="3"/>
      <c r="Z167" s="14"/>
      <c r="AA167" s="14"/>
      <c r="AB167" s="12"/>
    </row>
    <row r="168" spans="2:28" ht="49.5" hidden="1" customHeight="1">
      <c r="T168" s="3"/>
      <c r="U168" s="3"/>
      <c r="V168" s="3"/>
      <c r="W168" s="3"/>
      <c r="X168" s="3"/>
      <c r="Y168" s="3"/>
      <c r="Z168" s="14"/>
      <c r="AA168" s="14"/>
      <c r="AB168" s="12"/>
    </row>
    <row r="169" spans="2:28" ht="49.5" hidden="1" customHeight="1">
      <c r="T169" s="3"/>
      <c r="U169" s="3"/>
      <c r="V169" s="3"/>
      <c r="W169" s="3"/>
      <c r="X169" s="3"/>
      <c r="Y169" s="3"/>
      <c r="Z169" s="14"/>
      <c r="AA169" s="14"/>
      <c r="AB169" s="12"/>
    </row>
    <row r="170" spans="2:28" ht="49.5" hidden="1" customHeight="1">
      <c r="T170" s="3"/>
      <c r="U170" s="3"/>
      <c r="V170" s="3"/>
      <c r="W170" s="3"/>
      <c r="X170" s="3"/>
      <c r="Y170" s="3"/>
      <c r="Z170" s="14"/>
      <c r="AA170" s="14"/>
      <c r="AB170" s="12"/>
    </row>
    <row r="171" spans="2:28" ht="49.5" hidden="1" customHeight="1">
      <c r="D171" s="25"/>
      <c r="F171" s="25"/>
      <c r="T171" s="3"/>
      <c r="U171" s="3"/>
      <c r="V171" s="3"/>
      <c r="W171" s="3"/>
      <c r="X171" s="3"/>
      <c r="Y171" s="3"/>
      <c r="Z171" s="14"/>
      <c r="AA171" s="14"/>
      <c r="AB171" s="12"/>
    </row>
    <row r="172" spans="2:28" ht="49.5" hidden="1" customHeight="1">
      <c r="T172" s="3"/>
      <c r="U172" s="3"/>
      <c r="V172" s="3"/>
      <c r="W172" s="3"/>
      <c r="X172" s="3"/>
      <c r="Y172" s="3"/>
      <c r="Z172" s="14"/>
      <c r="AA172" s="14"/>
      <c r="AB172" s="12"/>
    </row>
    <row r="173" spans="2:28" ht="49.5" hidden="1" customHeight="1">
      <c r="D173" s="26"/>
      <c r="F173" s="26"/>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T176" s="3"/>
      <c r="U176" s="3"/>
      <c r="V176" s="3"/>
      <c r="W176" s="3"/>
      <c r="X176" s="3"/>
      <c r="Y176" s="3"/>
      <c r="Z176" s="14"/>
      <c r="AA176" s="14"/>
      <c r="AB176" s="12"/>
    </row>
    <row r="177" spans="4:28" ht="49.5" hidden="1" customHeight="1">
      <c r="D177" s="16">
        <v>1.25</v>
      </c>
      <c r="F177" s="16">
        <v>1.25</v>
      </c>
      <c r="I177" s="33" t="s">
        <v>69</v>
      </c>
      <c r="J177" s="33" t="s">
        <v>67</v>
      </c>
      <c r="T177" s="3"/>
      <c r="U177" s="3"/>
      <c r="V177" s="3"/>
      <c r="W177" s="3"/>
      <c r="X177" s="3"/>
      <c r="Y177" s="3"/>
      <c r="Z177" s="14"/>
      <c r="AA177" s="14"/>
      <c r="AB177" s="12"/>
    </row>
    <row r="178" spans="4:28" ht="49.5" hidden="1" customHeight="1">
      <c r="D178" s="16" t="e">
        <f>G163+#REF!+#REF!+G151+#REF!+G143+#REF!+G120+G96+#REF!+G91+G79+#REF!+G35+G12+#REF!</f>
        <v>#REF!</v>
      </c>
      <c r="F178" s="16" t="e">
        <f>I163+#REF!+#REF!+I151+#REF!+I143+#REF!+I120+I96+#REF!+I91+I79+#REF!+I35+I12+#REF!</f>
        <v>#REF!</v>
      </c>
      <c r="I178" s="53" t="e">
        <f>K163+#REF!+#REF!+K151+#REF!+K143+#REF!+K120+K96+#REF!+K91+K79+#REF!+K35+K12+#REF!</f>
        <v>#REF!</v>
      </c>
      <c r="J178" s="33" t="e">
        <f>M163+#REF!+#REF!+M151+#REF!+#REF!+M120+M96+#REF!+M91+M79+M35+#REF!+M12+M143+#REF!</f>
        <v>#REF!</v>
      </c>
      <c r="T178" s="3"/>
      <c r="U178" s="3"/>
      <c r="V178" s="3"/>
      <c r="W178" s="3"/>
      <c r="X178" s="3"/>
      <c r="Y178" s="3"/>
      <c r="Z178" s="14"/>
      <c r="AA178" s="14"/>
      <c r="AB178" s="12"/>
    </row>
    <row r="179" spans="4:28" ht="49.5" customHeight="1">
      <c r="T179" s="3"/>
      <c r="U179" s="3"/>
      <c r="V179" s="3"/>
      <c r="W179" s="3"/>
      <c r="X179" s="3"/>
      <c r="Y179" s="3"/>
      <c r="Z179" s="14"/>
      <c r="AA179" s="14"/>
      <c r="AB179" s="12"/>
    </row>
    <row r="180" spans="4:28" ht="49.5" customHeight="1">
      <c r="T180" s="3"/>
      <c r="U180" s="3"/>
      <c r="V180" s="3"/>
      <c r="W180" s="3"/>
      <c r="X180" s="3"/>
      <c r="Y180" s="3"/>
      <c r="Z180" s="14"/>
      <c r="AA180" s="14"/>
      <c r="AB180" s="12"/>
    </row>
    <row r="181" spans="4:28" ht="49.5" customHeight="1">
      <c r="T181" s="3"/>
      <c r="U181" s="3"/>
      <c r="V181" s="3"/>
      <c r="W181" s="3"/>
      <c r="X181" s="3"/>
      <c r="Y181" s="3"/>
      <c r="Z181" s="14"/>
      <c r="AA181" s="14"/>
      <c r="AB181" s="12"/>
    </row>
    <row r="182" spans="4:28" ht="49.5" customHeight="1">
      <c r="T182" s="3"/>
      <c r="U182" s="3"/>
      <c r="V182" s="3"/>
      <c r="W182" s="3"/>
      <c r="X182" s="3"/>
      <c r="Y182" s="3"/>
      <c r="Z182" s="14"/>
      <c r="AA182" s="14"/>
      <c r="AB182" s="12"/>
    </row>
    <row r="183" spans="4:28" ht="49.5" customHeight="1">
      <c r="T183" s="3"/>
      <c r="U183" s="3"/>
      <c r="V183" s="3"/>
      <c r="W183" s="3"/>
      <c r="X183" s="3"/>
      <c r="Y183" s="3"/>
      <c r="Z183" s="14"/>
      <c r="AA183" s="14"/>
      <c r="AB183" s="12"/>
    </row>
    <row r="184" spans="4:28" ht="49.5" customHeight="1">
      <c r="Z184" s="12"/>
      <c r="AA184" s="12"/>
      <c r="AB184" s="12"/>
    </row>
    <row r="185" spans="4:28" ht="49.5" customHeight="1">
      <c r="Z185" s="12"/>
      <c r="AA185" s="12"/>
      <c r="AB185" s="12"/>
    </row>
    <row r="186" spans="4:28" ht="49.5" customHeight="1">
      <c r="Z186" s="12"/>
      <c r="AA186" s="12"/>
      <c r="AB186" s="12"/>
    </row>
    <row r="187" spans="4:28" ht="49.5" customHeight="1">
      <c r="Z187" s="12"/>
      <c r="AA187" s="12"/>
      <c r="AB187" s="12"/>
    </row>
    <row r="188" spans="4:28" ht="49.5" customHeight="1">
      <c r="Z188" s="12"/>
      <c r="AA188" s="12"/>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row r="197" spans="26:28" ht="49.5" customHeight="1">
      <c r="Z197" s="12"/>
      <c r="AA197" s="12"/>
      <c r="AB197" s="12"/>
    </row>
  </sheetData>
  <mergeCells count="129">
    <mergeCell ref="G1:H1"/>
    <mergeCell ref="I1:J1"/>
    <mergeCell ref="D3:D4"/>
    <mergeCell ref="F3:F4"/>
    <mergeCell ref="G3:H3"/>
    <mergeCell ref="I3:J3"/>
    <mergeCell ref="K3:L3"/>
    <mergeCell ref="M3:N3"/>
    <mergeCell ref="O3:O4"/>
    <mergeCell ref="P3:P4"/>
    <mergeCell ref="Q3:Q4"/>
    <mergeCell ref="S3:S4"/>
    <mergeCell ref="I12:J12"/>
    <mergeCell ref="K12:L12"/>
    <mergeCell ref="M12:N12"/>
    <mergeCell ref="G14:H14"/>
    <mergeCell ref="I14:J14"/>
    <mergeCell ref="D17:D18"/>
    <mergeCell ref="F17:F18"/>
    <mergeCell ref="G17:H17"/>
    <mergeCell ref="I17:J17"/>
    <mergeCell ref="K17:L17"/>
    <mergeCell ref="M17:N17"/>
    <mergeCell ref="O17:O18"/>
    <mergeCell ref="P17:P18"/>
    <mergeCell ref="Q17:Q18"/>
    <mergeCell ref="S17:S18"/>
    <mergeCell ref="G35:H35"/>
    <mergeCell ref="I35:J35"/>
    <mergeCell ref="K35:L35"/>
    <mergeCell ref="M35:N35"/>
    <mergeCell ref="G37:H37"/>
    <mergeCell ref="I37:J37"/>
    <mergeCell ref="G55:H55"/>
    <mergeCell ref="I55:J55"/>
    <mergeCell ref="K55:L55"/>
    <mergeCell ref="M55:N55"/>
    <mergeCell ref="G57:H57"/>
    <mergeCell ref="I57:J57"/>
    <mergeCell ref="D60:D61"/>
    <mergeCell ref="F60:F61"/>
    <mergeCell ref="G60:H60"/>
    <mergeCell ref="I60:J60"/>
    <mergeCell ref="K60:L60"/>
    <mergeCell ref="M60:N60"/>
    <mergeCell ref="O60:O61"/>
    <mergeCell ref="P60:P61"/>
    <mergeCell ref="Q60:Q61"/>
    <mergeCell ref="S60:S61"/>
    <mergeCell ref="G66:H66"/>
    <mergeCell ref="I66:J66"/>
    <mergeCell ref="M66:N66"/>
    <mergeCell ref="G79:H79"/>
    <mergeCell ref="I79:J79"/>
    <mergeCell ref="K79:L79"/>
    <mergeCell ref="M79:N79"/>
    <mergeCell ref="G81:H81"/>
    <mergeCell ref="I81:J81"/>
    <mergeCell ref="D84:D85"/>
    <mergeCell ref="F84:F85"/>
    <mergeCell ref="G84:H84"/>
    <mergeCell ref="I84:J84"/>
    <mergeCell ref="K84:L84"/>
    <mergeCell ref="M84:N84"/>
    <mergeCell ref="O84:O85"/>
    <mergeCell ref="P84:P85"/>
    <mergeCell ref="Q84:Q85"/>
    <mergeCell ref="S84:S85"/>
    <mergeCell ref="G91:H91"/>
    <mergeCell ref="I91:J91"/>
    <mergeCell ref="K91:L91"/>
    <mergeCell ref="M91:N91"/>
    <mergeCell ref="O91:P91"/>
    <mergeCell ref="G96:H96"/>
    <mergeCell ref="I96:J96"/>
    <mergeCell ref="K96:L96"/>
    <mergeCell ref="M96:N96"/>
    <mergeCell ref="G98:H98"/>
    <mergeCell ref="I98:J98"/>
    <mergeCell ref="D101:D102"/>
    <mergeCell ref="F101:F102"/>
    <mergeCell ref="G101:H101"/>
    <mergeCell ref="I101:J101"/>
    <mergeCell ref="K101:L101"/>
    <mergeCell ref="M101:N101"/>
    <mergeCell ref="O101:O102"/>
    <mergeCell ref="P101:P102"/>
    <mergeCell ref="Q101:Q102"/>
    <mergeCell ref="S101:S102"/>
    <mergeCell ref="G120:H120"/>
    <mergeCell ref="I120:J120"/>
    <mergeCell ref="K120:L120"/>
    <mergeCell ref="M120:N120"/>
    <mergeCell ref="G122:H122"/>
    <mergeCell ref="I122:J122"/>
    <mergeCell ref="S125:S126"/>
    <mergeCell ref="G130:H130"/>
    <mergeCell ref="I130:J130"/>
    <mergeCell ref="K130:L130"/>
    <mergeCell ref="M130:N130"/>
    <mergeCell ref="D125:D126"/>
    <mergeCell ref="F125:F126"/>
    <mergeCell ref="G125:H125"/>
    <mergeCell ref="I125:J125"/>
    <mergeCell ref="K125:L125"/>
    <mergeCell ref="P1:Q1"/>
    <mergeCell ref="G163:H163"/>
    <mergeCell ref="I163:J163"/>
    <mergeCell ref="K163:L163"/>
    <mergeCell ref="M163:N163"/>
    <mergeCell ref="G151:H151"/>
    <mergeCell ref="I151:J151"/>
    <mergeCell ref="K151:L151"/>
    <mergeCell ref="M151:N151"/>
    <mergeCell ref="G156:H156"/>
    <mergeCell ref="I156:J156"/>
    <mergeCell ref="O143:P143"/>
    <mergeCell ref="G146:H146"/>
    <mergeCell ref="I146:J146"/>
    <mergeCell ref="O125:O126"/>
    <mergeCell ref="P125:P126"/>
    <mergeCell ref="Q125:Q126"/>
    <mergeCell ref="M125:N125"/>
    <mergeCell ref="K156:L156"/>
    <mergeCell ref="M156:N156"/>
    <mergeCell ref="G143:H143"/>
    <mergeCell ref="I143:J143"/>
    <mergeCell ref="K143:L143"/>
    <mergeCell ref="M143:N143"/>
  </mergeCells>
  <printOptions horizontalCentered="1"/>
  <pageMargins left="0" right="0" top="0.78740157480314965" bottom="0.98425196850393704" header="0.39370078740157483" footer="0.59055118110236227"/>
  <pageSetup paperSize="9" scale="87"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7"/>
  <sheetViews>
    <sheetView view="pageBreakPreview" topLeftCell="F1" zoomScale="85" zoomScaleNormal="90" zoomScaleSheetLayoutView="85" workbookViewId="0">
      <selection activeCell="I6" sqref="I6"/>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7.28515625" style="16" bestFit="1" customWidth="1"/>
    <col min="7" max="7" width="14.85546875" style="95" customWidth="1"/>
    <col min="8" max="8" width="13.42578125" style="16" customWidth="1"/>
    <col min="9" max="9" width="13.140625" style="33" customWidth="1"/>
    <col min="10" max="10" width="8.85546875" style="33" customWidth="1"/>
    <col min="11" max="11" width="13.140625" style="16" hidden="1" customWidth="1"/>
    <col min="12" max="12" width="10" style="16" hidden="1" customWidth="1"/>
    <col min="13" max="13" width="13.5703125" style="95" customWidth="1"/>
    <col min="14" max="14" width="9.7109375" style="16" customWidth="1"/>
    <col min="15" max="15" width="10.5703125" style="104" customWidth="1"/>
    <col min="16" max="16" width="7.42578125" style="16" customWidth="1"/>
    <col min="17" max="17" width="37.140625" style="16" customWidth="1"/>
    <col min="18" max="18" width="5.85546875" style="16" customWidth="1"/>
    <col min="19" max="19" width="9.4257812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519</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0" t="s">
        <v>142</v>
      </c>
      <c r="K4" s="357" t="s">
        <v>4</v>
      </c>
      <c r="L4" s="357" t="s">
        <v>3</v>
      </c>
      <c r="M4" s="100" t="s">
        <v>141</v>
      </c>
      <c r="N4" s="357" t="s">
        <v>140</v>
      </c>
      <c r="O4" s="429"/>
      <c r="P4" s="388"/>
      <c r="Q4" s="388"/>
      <c r="R4" s="2"/>
      <c r="S4" s="421"/>
    </row>
    <row r="5" spans="2:19" ht="23.25" customHeight="1" thickBot="1">
      <c r="D5" s="85"/>
      <c r="F5" s="176"/>
      <c r="G5" s="145"/>
      <c r="H5" s="136"/>
      <c r="I5" s="146"/>
      <c r="J5" s="146"/>
      <c r="K5" s="136"/>
      <c r="L5" s="136"/>
      <c r="M5" s="145" t="s">
        <v>381</v>
      </c>
      <c r="N5" s="136"/>
      <c r="O5" s="136"/>
      <c r="P5" s="136"/>
      <c r="Q5" s="86" t="s">
        <v>446</v>
      </c>
      <c r="R5" s="42"/>
      <c r="S5" s="220"/>
    </row>
    <row r="6" spans="2:19" ht="33" customHeight="1">
      <c r="B6" s="259" t="s">
        <v>264</v>
      </c>
      <c r="C6" s="3" t="s">
        <v>279</v>
      </c>
      <c r="D6" s="35">
        <v>521.12</v>
      </c>
      <c r="F6" s="35"/>
      <c r="G6" s="269"/>
      <c r="H6" s="269">
        <f>(J6-N6)*O6</f>
        <v>175011879.99999994</v>
      </c>
      <c r="I6" s="269">
        <f>J6*O6</f>
        <v>1003710280</v>
      </c>
      <c r="J6" s="49">
        <v>28036.6</v>
      </c>
      <c r="K6" s="6"/>
      <c r="L6" s="28"/>
      <c r="M6" s="269">
        <f>N6*O6</f>
        <v>828698400</v>
      </c>
      <c r="N6" s="6">
        <v>23148</v>
      </c>
      <c r="O6" s="22">
        <v>35800</v>
      </c>
      <c r="P6" s="6" t="s">
        <v>325</v>
      </c>
      <c r="Q6" s="6" t="s">
        <v>449</v>
      </c>
      <c r="R6" s="63" t="s">
        <v>158</v>
      </c>
      <c r="S6" s="34" t="s">
        <v>447</v>
      </c>
    </row>
    <row r="7" spans="2:19" ht="33" customHeight="1">
      <c r="B7" s="259">
        <v>500</v>
      </c>
      <c r="D7" s="35"/>
      <c r="F7" s="35"/>
      <c r="G7" s="269">
        <f>(N7-J7)*O7</f>
        <v>19282320</v>
      </c>
      <c r="H7" s="269"/>
      <c r="I7" s="269">
        <f>J7*O7</f>
        <v>0</v>
      </c>
      <c r="J7" s="49">
        <v>0</v>
      </c>
      <c r="K7" s="6"/>
      <c r="L7" s="28"/>
      <c r="M7" s="269">
        <f>N7*O7</f>
        <v>19282320</v>
      </c>
      <c r="N7" s="6">
        <v>568.79999999999995</v>
      </c>
      <c r="O7" s="22">
        <v>33900</v>
      </c>
      <c r="P7" s="6" t="s">
        <v>325</v>
      </c>
      <c r="Q7" s="6" t="s">
        <v>450</v>
      </c>
      <c r="R7" s="63" t="s">
        <v>158</v>
      </c>
      <c r="S7" s="34" t="s">
        <v>448</v>
      </c>
    </row>
    <row r="8" spans="2:19" ht="33" customHeight="1">
      <c r="B8" s="259">
        <v>300</v>
      </c>
      <c r="D8" s="20"/>
      <c r="F8" s="20"/>
      <c r="G8" s="269"/>
      <c r="H8" s="269"/>
      <c r="I8" s="269"/>
      <c r="J8" s="49"/>
      <c r="K8" s="6"/>
      <c r="L8" s="28"/>
      <c r="M8" s="269"/>
      <c r="N8" s="6"/>
      <c r="O8" s="22"/>
      <c r="P8" s="6"/>
      <c r="Q8" s="6"/>
      <c r="R8" s="63"/>
      <c r="S8" s="34"/>
    </row>
    <row r="9" spans="2:19" ht="33" customHeight="1">
      <c r="B9" s="259">
        <v>1050</v>
      </c>
      <c r="D9" s="20">
        <v>521.12</v>
      </c>
      <c r="F9" s="20"/>
      <c r="G9" s="98"/>
      <c r="H9" s="49"/>
      <c r="I9" s="40"/>
      <c r="J9" s="49"/>
      <c r="K9" s="6"/>
      <c r="L9" s="6"/>
      <c r="M9" s="269"/>
      <c r="N9" s="6"/>
      <c r="O9" s="22"/>
      <c r="P9" s="6"/>
      <c r="Q9" s="6"/>
      <c r="R9" s="63"/>
      <c r="S9" s="34"/>
    </row>
    <row r="10" spans="2:19" ht="33" customHeight="1">
      <c r="B10" s="259" t="s">
        <v>257</v>
      </c>
      <c r="C10" s="3" t="s">
        <v>280</v>
      </c>
      <c r="D10" s="20">
        <v>496.94</v>
      </c>
      <c r="F10" s="20"/>
      <c r="G10" s="98"/>
      <c r="H10" s="49"/>
      <c r="I10" s="40"/>
      <c r="J10" s="49"/>
      <c r="K10" s="6"/>
      <c r="L10" s="6"/>
      <c r="M10" s="269"/>
      <c r="N10" s="6"/>
      <c r="O10" s="22"/>
      <c r="P10" s="6"/>
      <c r="Q10" s="6"/>
      <c r="R10" s="63"/>
      <c r="S10" s="38"/>
    </row>
    <row r="11" spans="2:19" ht="33" customHeight="1">
      <c r="D11" s="20"/>
      <c r="F11" s="20"/>
      <c r="G11" s="98"/>
      <c r="H11" s="49"/>
      <c r="I11" s="40"/>
      <c r="J11" s="49"/>
      <c r="K11" s="6"/>
      <c r="L11" s="6"/>
      <c r="M11" s="191"/>
      <c r="N11" s="6"/>
      <c r="O11" s="22"/>
      <c r="P11" s="6"/>
      <c r="Q11" s="4"/>
      <c r="R11" s="63"/>
      <c r="S11" s="36"/>
    </row>
    <row r="12" spans="2:19" ht="49.5" customHeight="1" thickBot="1">
      <c r="D12" s="116"/>
      <c r="F12" s="116"/>
      <c r="G12" s="337">
        <f>SUM(G6:G11)</f>
        <v>19282320</v>
      </c>
      <c r="H12" s="337">
        <f>SUM(H6:H11)</f>
        <v>175011879.99999994</v>
      </c>
      <c r="I12" s="402">
        <f>SUM(I6:I11)</f>
        <v>1003710280</v>
      </c>
      <c r="J12" s="402"/>
      <c r="K12" s="400">
        <f>SUM(K6:K9)</f>
        <v>0</v>
      </c>
      <c r="L12" s="400"/>
      <c r="M12" s="400">
        <f>SUM(M6:M11)</f>
        <v>847980720</v>
      </c>
      <c r="N12" s="400"/>
      <c r="O12" s="39"/>
      <c r="P12" s="115"/>
      <c r="Q12" s="115" t="s">
        <v>327</v>
      </c>
      <c r="R12" s="8"/>
      <c r="S12" s="206"/>
    </row>
    <row r="13" spans="2:19" ht="49.5" customHeight="1">
      <c r="D13" s="13"/>
      <c r="F13" s="13"/>
      <c r="G13" s="99"/>
      <c r="H13" s="37"/>
      <c r="I13" s="50"/>
      <c r="J13" s="50"/>
      <c r="K13" s="37"/>
      <c r="L13" s="37"/>
      <c r="M13" s="99"/>
      <c r="N13" s="37"/>
      <c r="O13" s="24"/>
      <c r="P13" s="9"/>
      <c r="Q13" s="9"/>
      <c r="R13" s="9"/>
      <c r="S13" s="208"/>
    </row>
    <row r="14" spans="2:19" ht="23.25" hidden="1" customHeight="1">
      <c r="D14" s="77"/>
      <c r="F14" s="173"/>
      <c r="G14" s="382" t="s">
        <v>300</v>
      </c>
      <c r="H14" s="382"/>
      <c r="I14" s="382" t="s">
        <v>145</v>
      </c>
      <c r="J14" s="382"/>
      <c r="K14" s="78"/>
      <c r="L14" s="78"/>
      <c r="M14" s="199"/>
      <c r="N14" s="78"/>
      <c r="O14" s="79"/>
      <c r="P14" s="78"/>
      <c r="Q14" s="80" t="s">
        <v>171</v>
      </c>
      <c r="R14" s="41"/>
      <c r="S14" s="219"/>
    </row>
    <row r="15" spans="2:19" ht="23.25" hidden="1" customHeight="1">
      <c r="D15" s="81"/>
      <c r="F15" s="174"/>
      <c r="G15" s="96"/>
      <c r="H15" s="82"/>
      <c r="I15" s="83"/>
      <c r="J15" s="143" t="s">
        <v>146</v>
      </c>
      <c r="K15" s="144"/>
      <c r="L15" s="144"/>
      <c r="M15" s="200"/>
      <c r="N15" s="144"/>
      <c r="O15" s="135"/>
      <c r="P15" s="144"/>
      <c r="Q15" s="84" t="s">
        <v>292</v>
      </c>
      <c r="R15" s="56"/>
      <c r="S15" s="175"/>
    </row>
    <row r="16" spans="2:19" ht="23.25" hidden="1" customHeight="1" thickBot="1">
      <c r="D16" s="85"/>
      <c r="F16" s="85"/>
      <c r="G16" s="145"/>
      <c r="H16" s="136"/>
      <c r="I16" s="146"/>
      <c r="J16" s="146"/>
      <c r="K16" s="136"/>
      <c r="L16" s="136"/>
      <c r="M16" s="145" t="s">
        <v>183</v>
      </c>
      <c r="N16" s="136"/>
      <c r="O16" s="136"/>
      <c r="P16" s="136"/>
      <c r="Q16" s="86" t="s">
        <v>184</v>
      </c>
      <c r="R16" s="42"/>
      <c r="S16" s="205"/>
    </row>
    <row r="17" spans="2:20" ht="25.5" hidden="1" customHeight="1">
      <c r="D17" s="385" t="s">
        <v>144</v>
      </c>
      <c r="F17" s="385" t="s">
        <v>144</v>
      </c>
      <c r="G17" s="406" t="s">
        <v>63</v>
      </c>
      <c r="H17" s="406"/>
      <c r="I17" s="409" t="s">
        <v>170</v>
      </c>
      <c r="J17" s="409"/>
      <c r="K17" s="401" t="s">
        <v>2</v>
      </c>
      <c r="L17" s="401"/>
      <c r="M17" s="401" t="s">
        <v>220</v>
      </c>
      <c r="N17" s="401"/>
      <c r="O17" s="426" t="s">
        <v>139</v>
      </c>
      <c r="P17" s="401" t="s">
        <v>1</v>
      </c>
      <c r="Q17" s="401" t="s">
        <v>138</v>
      </c>
      <c r="R17" s="62"/>
      <c r="S17" s="424" t="s">
        <v>0</v>
      </c>
    </row>
    <row r="18" spans="2:20" ht="25.5" hidden="1" customHeight="1">
      <c r="D18" s="386"/>
      <c r="F18" s="386"/>
      <c r="G18" s="97" t="s">
        <v>143</v>
      </c>
      <c r="H18" s="49" t="s">
        <v>142</v>
      </c>
      <c r="I18" s="49" t="s">
        <v>143</v>
      </c>
      <c r="J18" s="49" t="s">
        <v>142</v>
      </c>
      <c r="K18" s="1" t="s">
        <v>4</v>
      </c>
      <c r="L18" s="1" t="s">
        <v>3</v>
      </c>
      <c r="M18" s="100" t="s">
        <v>141</v>
      </c>
      <c r="N18" s="1" t="s">
        <v>140</v>
      </c>
      <c r="O18" s="427"/>
      <c r="P18" s="422"/>
      <c r="Q18" s="422"/>
      <c r="R18" s="2"/>
      <c r="S18" s="425"/>
    </row>
    <row r="19" spans="2:20" ht="30.75" hidden="1" customHeight="1">
      <c r="D19" s="111">
        <v>10848.34</v>
      </c>
      <c r="E19" s="109"/>
      <c r="F19" s="111"/>
      <c r="G19" s="100">
        <f t="shared" ref="G19:G34" si="0">H19*O19</f>
        <v>29289600</v>
      </c>
      <c r="H19" s="1">
        <v>10848</v>
      </c>
      <c r="I19" s="40">
        <f>J19*O19</f>
        <v>-9036900</v>
      </c>
      <c r="J19" s="49">
        <f>H19-N19</f>
        <v>-3347</v>
      </c>
      <c r="K19" s="6"/>
      <c r="L19" s="4"/>
      <c r="M19" s="191">
        <f t="shared" ref="M19:M34" si="1">N19*O19</f>
        <v>38326500</v>
      </c>
      <c r="N19" s="4">
        <v>14195</v>
      </c>
      <c r="O19" s="22">
        <v>2700</v>
      </c>
      <c r="P19" s="6" t="s">
        <v>35</v>
      </c>
      <c r="Q19" s="45" t="s">
        <v>152</v>
      </c>
      <c r="R19" s="63" t="s">
        <v>158</v>
      </c>
      <c r="S19" s="38" t="s">
        <v>71</v>
      </c>
      <c r="T19" s="30"/>
    </row>
    <row r="20" spans="2:20" ht="30.75" hidden="1" customHeight="1">
      <c r="D20" s="110">
        <v>1205.3599999999999</v>
      </c>
      <c r="E20" s="109"/>
      <c r="F20" s="110"/>
      <c r="G20" s="100">
        <f t="shared" si="0"/>
        <v>18195500</v>
      </c>
      <c r="H20" s="1">
        <v>1205</v>
      </c>
      <c r="I20" s="40">
        <f t="shared" ref="I20:I34" si="2">J20*O20</f>
        <v>18195500</v>
      </c>
      <c r="J20" s="49">
        <f t="shared" ref="J20:J33" si="3">H20-N20</f>
        <v>1205</v>
      </c>
      <c r="K20" s="6"/>
      <c r="L20" s="4"/>
      <c r="M20" s="191">
        <f t="shared" si="1"/>
        <v>0</v>
      </c>
      <c r="N20" s="4"/>
      <c r="O20" s="22">
        <v>15100</v>
      </c>
      <c r="P20" s="6" t="s">
        <v>35</v>
      </c>
      <c r="Q20" s="45" t="s">
        <v>73</v>
      </c>
      <c r="R20" s="63" t="s">
        <v>158</v>
      </c>
      <c r="S20" s="38" t="s">
        <v>72</v>
      </c>
      <c r="T20" s="30"/>
    </row>
    <row r="21" spans="2:20" ht="30.75" hidden="1" customHeight="1">
      <c r="B21" s="259">
        <v>1500</v>
      </c>
      <c r="D21" s="110">
        <v>1250</v>
      </c>
      <c r="E21" s="109"/>
      <c r="F21" s="110"/>
      <c r="G21" s="100">
        <f t="shared" si="0"/>
        <v>42900000</v>
      </c>
      <c r="H21" s="1">
        <f>1250+1500</f>
        <v>2750</v>
      </c>
      <c r="I21" s="40">
        <f t="shared" si="2"/>
        <v>42900000</v>
      </c>
      <c r="J21" s="49">
        <f t="shared" si="3"/>
        <v>2750</v>
      </c>
      <c r="K21" s="6"/>
      <c r="L21" s="4"/>
      <c r="M21" s="191">
        <f t="shared" si="1"/>
        <v>0</v>
      </c>
      <c r="N21" s="4"/>
      <c r="O21" s="22">
        <v>15600</v>
      </c>
      <c r="P21" s="6" t="s">
        <v>35</v>
      </c>
      <c r="Q21" s="45" t="s">
        <v>246</v>
      </c>
      <c r="R21" s="63" t="s">
        <v>158</v>
      </c>
      <c r="S21" s="38" t="s">
        <v>245</v>
      </c>
      <c r="T21" s="30"/>
    </row>
    <row r="22" spans="2:20" ht="30.75" hidden="1" customHeight="1">
      <c r="B22" s="259" t="s">
        <v>265</v>
      </c>
      <c r="C22" s="3" t="s">
        <v>281</v>
      </c>
      <c r="D22" s="110">
        <v>942</v>
      </c>
      <c r="E22" s="109"/>
      <c r="F22" s="110"/>
      <c r="G22" s="100">
        <f t="shared" si="0"/>
        <v>10413420</v>
      </c>
      <c r="H22" s="1">
        <f>942+1000*0.4+420</f>
        <v>1762</v>
      </c>
      <c r="I22" s="40">
        <f t="shared" si="2"/>
        <v>2139420</v>
      </c>
      <c r="J22" s="49">
        <f t="shared" si="3"/>
        <v>362</v>
      </c>
      <c r="K22" s="6"/>
      <c r="L22" s="4"/>
      <c r="M22" s="191">
        <f t="shared" si="1"/>
        <v>8274000</v>
      </c>
      <c r="N22" s="4">
        <v>1400</v>
      </c>
      <c r="O22" s="22">
        <v>5910</v>
      </c>
      <c r="P22" s="6" t="s">
        <v>35</v>
      </c>
      <c r="Q22" s="45" t="s">
        <v>75</v>
      </c>
      <c r="R22" s="63" t="s">
        <v>158</v>
      </c>
      <c r="S22" s="38" t="s">
        <v>74</v>
      </c>
      <c r="T22" s="30"/>
    </row>
    <row r="23" spans="2:20" ht="30.75" hidden="1" customHeight="1">
      <c r="B23" s="259" t="s">
        <v>266</v>
      </c>
      <c r="D23" s="110">
        <v>1152.5999999999999</v>
      </c>
      <c r="E23" s="109"/>
      <c r="F23" s="110"/>
      <c r="G23" s="100">
        <f t="shared" si="0"/>
        <v>40759200</v>
      </c>
      <c r="H23" s="1">
        <f>1152+2520</f>
        <v>3672</v>
      </c>
      <c r="I23" s="40">
        <f t="shared" si="2"/>
        <v>40759200</v>
      </c>
      <c r="J23" s="49">
        <f t="shared" si="3"/>
        <v>3672</v>
      </c>
      <c r="K23" s="6"/>
      <c r="L23" s="4"/>
      <c r="M23" s="191"/>
      <c r="N23" s="4"/>
      <c r="O23" s="22">
        <v>11100</v>
      </c>
      <c r="P23" s="6" t="s">
        <v>35</v>
      </c>
      <c r="Q23" s="45" t="s">
        <v>248</v>
      </c>
      <c r="R23" s="63" t="s">
        <v>158</v>
      </c>
      <c r="S23" s="38" t="s">
        <v>247</v>
      </c>
      <c r="T23" s="30"/>
    </row>
    <row r="24" spans="2:20" ht="30.75" hidden="1" customHeight="1">
      <c r="C24" s="3" t="s">
        <v>282</v>
      </c>
      <c r="D24" s="110">
        <v>1017.33</v>
      </c>
      <c r="E24" s="109"/>
      <c r="F24" s="110"/>
      <c r="G24" s="100">
        <f t="shared" si="0"/>
        <v>97239700</v>
      </c>
      <c r="H24" s="1">
        <f>1017+1000*0.5</f>
        <v>1517</v>
      </c>
      <c r="I24" s="40">
        <f t="shared" si="2"/>
        <v>-5320300</v>
      </c>
      <c r="J24" s="49">
        <f t="shared" si="3"/>
        <v>-83</v>
      </c>
      <c r="K24" s="6"/>
      <c r="L24" s="4"/>
      <c r="M24" s="191">
        <f t="shared" si="1"/>
        <v>102560000</v>
      </c>
      <c r="N24" s="4">
        <v>1600</v>
      </c>
      <c r="O24" s="22">
        <v>64100</v>
      </c>
      <c r="P24" s="6" t="s">
        <v>35</v>
      </c>
      <c r="Q24" s="45" t="s">
        <v>77</v>
      </c>
      <c r="R24" s="63" t="s">
        <v>158</v>
      </c>
      <c r="S24" s="38" t="s">
        <v>76</v>
      </c>
      <c r="T24" s="30"/>
    </row>
    <row r="25" spans="2:20" ht="30.75" hidden="1" customHeight="1">
      <c r="B25" s="259">
        <v>800</v>
      </c>
      <c r="D25" s="110"/>
      <c r="E25" s="109"/>
      <c r="F25" s="110"/>
      <c r="G25" s="100">
        <f t="shared" si="0"/>
        <v>740000</v>
      </c>
      <c r="H25" s="1">
        <v>800</v>
      </c>
      <c r="I25" s="40">
        <f t="shared" si="2"/>
        <v>740000</v>
      </c>
      <c r="J25" s="49">
        <f t="shared" si="3"/>
        <v>800</v>
      </c>
      <c r="K25" s="6"/>
      <c r="L25" s="4"/>
      <c r="M25" s="191">
        <f t="shared" si="1"/>
        <v>0</v>
      </c>
      <c r="N25" s="4"/>
      <c r="O25" s="22">
        <v>925</v>
      </c>
      <c r="P25" s="6" t="s">
        <v>35</v>
      </c>
      <c r="Q25" s="45" t="s">
        <v>80</v>
      </c>
      <c r="R25" s="63" t="s">
        <v>158</v>
      </c>
      <c r="S25" s="38" t="s">
        <v>78</v>
      </c>
      <c r="T25" s="30"/>
    </row>
    <row r="26" spans="2:20" ht="30.75" hidden="1" customHeight="1">
      <c r="D26" s="110"/>
      <c r="E26" s="109"/>
      <c r="F26" s="110"/>
      <c r="G26" s="100">
        <f t="shared" si="0"/>
        <v>2280000</v>
      </c>
      <c r="H26" s="1">
        <v>300</v>
      </c>
      <c r="I26" s="40">
        <f t="shared" si="2"/>
        <v>2280000</v>
      </c>
      <c r="J26" s="49">
        <f t="shared" si="3"/>
        <v>300</v>
      </c>
      <c r="K26" s="6"/>
      <c r="L26" s="4"/>
      <c r="M26" s="191">
        <f t="shared" si="1"/>
        <v>0</v>
      </c>
      <c r="N26" s="4"/>
      <c r="O26" s="22">
        <v>7600</v>
      </c>
      <c r="P26" s="6" t="s">
        <v>35</v>
      </c>
      <c r="Q26" s="45" t="s">
        <v>81</v>
      </c>
      <c r="R26" s="63" t="s">
        <v>158</v>
      </c>
      <c r="S26" s="38" t="s">
        <v>79</v>
      </c>
      <c r="T26" s="30"/>
    </row>
    <row r="27" spans="2:20" ht="30.75" hidden="1" customHeight="1">
      <c r="B27" s="259">
        <v>4200</v>
      </c>
      <c r="C27" s="3">
        <v>1000</v>
      </c>
      <c r="D27" s="110">
        <v>16823.82</v>
      </c>
      <c r="E27" s="109"/>
      <c r="F27" s="110"/>
      <c r="G27" s="100">
        <f t="shared" si="0"/>
        <v>66509460</v>
      </c>
      <c r="H27" s="203">
        <f>16823+1000+4200</f>
        <v>22023</v>
      </c>
      <c r="I27" s="40">
        <f t="shared" si="2"/>
        <v>57449460</v>
      </c>
      <c r="J27" s="49">
        <f t="shared" si="3"/>
        <v>19023</v>
      </c>
      <c r="K27" s="6"/>
      <c r="L27" s="4"/>
      <c r="M27" s="191">
        <f t="shared" si="1"/>
        <v>9060000</v>
      </c>
      <c r="N27" s="4">
        <v>3000</v>
      </c>
      <c r="O27" s="22">
        <v>3020</v>
      </c>
      <c r="P27" s="6" t="s">
        <v>35</v>
      </c>
      <c r="Q27" s="46" t="s">
        <v>41</v>
      </c>
      <c r="R27" s="63" t="s">
        <v>158</v>
      </c>
      <c r="S27" s="31" t="s">
        <v>37</v>
      </c>
      <c r="T27" s="29"/>
    </row>
    <row r="28" spans="2:20" ht="30.75" hidden="1" customHeight="1">
      <c r="B28" s="259" t="s">
        <v>267</v>
      </c>
      <c r="C28" s="3" t="s">
        <v>283</v>
      </c>
      <c r="D28" s="110">
        <v>67702.559999999998</v>
      </c>
      <c r="E28" s="109"/>
      <c r="F28" s="110"/>
      <c r="G28" s="100">
        <f t="shared" si="0"/>
        <v>23453030</v>
      </c>
      <c r="H28" s="1">
        <f>67702+4*1000+4200*4</f>
        <v>88502</v>
      </c>
      <c r="I28" s="40">
        <f t="shared" si="2"/>
        <v>20273030</v>
      </c>
      <c r="J28" s="49">
        <f t="shared" si="3"/>
        <v>76502</v>
      </c>
      <c r="K28" s="6"/>
      <c r="L28" s="4"/>
      <c r="M28" s="191">
        <f t="shared" si="1"/>
        <v>3180000</v>
      </c>
      <c r="N28" s="4">
        <v>12000</v>
      </c>
      <c r="O28" s="22">
        <v>265</v>
      </c>
      <c r="P28" s="6" t="s">
        <v>35</v>
      </c>
      <c r="Q28" s="46" t="s">
        <v>42</v>
      </c>
      <c r="R28" s="63" t="s">
        <v>158</v>
      </c>
      <c r="S28" s="31" t="s">
        <v>38</v>
      </c>
      <c r="T28" s="29"/>
    </row>
    <row r="29" spans="2:20" ht="30.75" hidden="1" customHeight="1">
      <c r="B29" s="259" t="s">
        <v>268</v>
      </c>
      <c r="C29" s="3" t="s">
        <v>284</v>
      </c>
      <c r="D29" s="110">
        <v>161360.4</v>
      </c>
      <c r="E29" s="109"/>
      <c r="F29" s="110"/>
      <c r="G29" s="100">
        <f t="shared" si="0"/>
        <v>183612800</v>
      </c>
      <c r="H29" s="1">
        <f>161360+5*1000+4200*5</f>
        <v>187360</v>
      </c>
      <c r="I29" s="40">
        <f t="shared" si="2"/>
        <v>4466840</v>
      </c>
      <c r="J29" s="49">
        <f t="shared" si="3"/>
        <v>4558</v>
      </c>
      <c r="K29" s="6"/>
      <c r="L29" s="4"/>
      <c r="M29" s="191">
        <f t="shared" si="1"/>
        <v>179145960</v>
      </c>
      <c r="N29" s="4">
        <v>182802</v>
      </c>
      <c r="O29" s="22">
        <v>980</v>
      </c>
      <c r="P29" s="6" t="s">
        <v>44</v>
      </c>
      <c r="Q29" s="46" t="s">
        <v>222</v>
      </c>
      <c r="R29" s="63" t="s">
        <v>158</v>
      </c>
      <c r="S29" s="31" t="s">
        <v>39</v>
      </c>
      <c r="T29" s="29"/>
    </row>
    <row r="30" spans="2:20" ht="30.75" hidden="1" customHeight="1">
      <c r="D30" s="110">
        <v>103500</v>
      </c>
      <c r="E30" s="109"/>
      <c r="F30" s="110"/>
      <c r="G30" s="100">
        <f t="shared" si="0"/>
        <v>92632500</v>
      </c>
      <c r="H30" s="1">
        <v>103500</v>
      </c>
      <c r="I30" s="40">
        <f t="shared" si="2"/>
        <v>-10292500</v>
      </c>
      <c r="J30" s="49">
        <f t="shared" si="3"/>
        <v>-11500</v>
      </c>
      <c r="K30" s="6"/>
      <c r="L30" s="4"/>
      <c r="M30" s="191">
        <f t="shared" si="1"/>
        <v>102925000</v>
      </c>
      <c r="N30" s="4">
        <v>115000</v>
      </c>
      <c r="O30" s="22">
        <v>895</v>
      </c>
      <c r="P30" s="6" t="s">
        <v>44</v>
      </c>
      <c r="Q30" s="46" t="s">
        <v>223</v>
      </c>
      <c r="R30" s="63" t="s">
        <v>158</v>
      </c>
      <c r="S30" s="31" t="s">
        <v>221</v>
      </c>
      <c r="T30" s="29"/>
    </row>
    <row r="31" spans="2:20" ht="30.75" hidden="1" customHeight="1">
      <c r="B31" s="259" t="s">
        <v>269</v>
      </c>
      <c r="C31" s="3" t="s">
        <v>285</v>
      </c>
      <c r="D31" s="110">
        <v>8037.38</v>
      </c>
      <c r="E31" s="109"/>
      <c r="F31" s="110"/>
      <c r="G31" s="100">
        <f t="shared" si="0"/>
        <v>14662800</v>
      </c>
      <c r="H31" s="1">
        <f>8037+780*0.5*5+2232</f>
        <v>12219</v>
      </c>
      <c r="I31" s="40">
        <f t="shared" si="2"/>
        <v>14662800</v>
      </c>
      <c r="J31" s="49">
        <f t="shared" si="3"/>
        <v>12219</v>
      </c>
      <c r="K31" s="6"/>
      <c r="L31" s="4"/>
      <c r="M31" s="191">
        <f t="shared" si="1"/>
        <v>0</v>
      </c>
      <c r="N31" s="4"/>
      <c r="O31" s="105">
        <v>1200</v>
      </c>
      <c r="P31" s="10" t="s">
        <v>44</v>
      </c>
      <c r="Q31" s="47" t="s">
        <v>43</v>
      </c>
      <c r="R31" s="63" t="s">
        <v>158</v>
      </c>
      <c r="S31" s="31" t="s">
        <v>40</v>
      </c>
      <c r="T31" s="29"/>
    </row>
    <row r="32" spans="2:20" ht="30.75" hidden="1" customHeight="1">
      <c r="D32" s="110">
        <v>23833.7</v>
      </c>
      <c r="E32" s="109"/>
      <c r="F32" s="110"/>
      <c r="G32" s="100">
        <f t="shared" si="0"/>
        <v>412300000</v>
      </c>
      <c r="H32" s="1">
        <f>H34+H132</f>
        <v>11780</v>
      </c>
      <c r="I32" s="40">
        <f t="shared" si="2"/>
        <v>-791420000</v>
      </c>
      <c r="J32" s="49">
        <f t="shared" si="3"/>
        <v>-22612</v>
      </c>
      <c r="K32" s="6"/>
      <c r="L32" s="4"/>
      <c r="M32" s="192">
        <f t="shared" si="1"/>
        <v>1203720000</v>
      </c>
      <c r="N32" s="4">
        <v>34392</v>
      </c>
      <c r="O32" s="105">
        <v>35000</v>
      </c>
      <c r="P32" s="6" t="s">
        <v>35</v>
      </c>
      <c r="Q32" s="48" t="s">
        <v>225</v>
      </c>
      <c r="R32" s="63" t="s">
        <v>158</v>
      </c>
      <c r="S32" s="31" t="s">
        <v>224</v>
      </c>
      <c r="T32" s="29"/>
    </row>
    <row r="33" spans="2:20" ht="30.75" hidden="1" customHeight="1">
      <c r="D33" s="112"/>
      <c r="E33" s="109"/>
      <c r="F33" s="112"/>
      <c r="G33" s="100">
        <f t="shared" si="0"/>
        <v>2060000</v>
      </c>
      <c r="H33" s="1">
        <v>4000</v>
      </c>
      <c r="I33" s="40">
        <f t="shared" si="2"/>
        <v>2060000</v>
      </c>
      <c r="J33" s="49">
        <f t="shared" si="3"/>
        <v>4000</v>
      </c>
      <c r="K33" s="6"/>
      <c r="L33" s="4"/>
      <c r="M33" s="191">
        <f t="shared" si="1"/>
        <v>0</v>
      </c>
      <c r="N33" s="4"/>
      <c r="O33" s="105">
        <v>515</v>
      </c>
      <c r="P33" s="6" t="s">
        <v>35</v>
      </c>
      <c r="Q33" s="48" t="s">
        <v>154</v>
      </c>
      <c r="R33" s="63" t="s">
        <v>158</v>
      </c>
      <c r="S33" s="31" t="s">
        <v>153</v>
      </c>
      <c r="T33" s="29"/>
    </row>
    <row r="34" spans="2:20" ht="30.75" hidden="1" customHeight="1">
      <c r="D34" s="122">
        <v>4500</v>
      </c>
      <c r="E34" s="109"/>
      <c r="F34" s="122"/>
      <c r="G34" s="100">
        <f t="shared" si="0"/>
        <v>306000000</v>
      </c>
      <c r="H34" s="224">
        <v>4500</v>
      </c>
      <c r="I34" s="40">
        <f t="shared" si="2"/>
        <v>-34000000</v>
      </c>
      <c r="J34" s="49">
        <f>H34-N34</f>
        <v>-500</v>
      </c>
      <c r="K34" s="7"/>
      <c r="L34" s="59"/>
      <c r="M34" s="191">
        <f t="shared" si="1"/>
        <v>340000000</v>
      </c>
      <c r="N34" s="59">
        <v>5000</v>
      </c>
      <c r="O34" s="225">
        <v>68000</v>
      </c>
      <c r="P34" s="6" t="s">
        <v>35</v>
      </c>
      <c r="Q34" s="226" t="s">
        <v>227</v>
      </c>
      <c r="R34" s="63" t="s">
        <v>158</v>
      </c>
      <c r="S34" s="227" t="s">
        <v>226</v>
      </c>
      <c r="T34" s="29"/>
    </row>
    <row r="35" spans="2:20" ht="34.5" hidden="1" customHeight="1" thickBot="1">
      <c r="D35" s="118"/>
      <c r="E35" s="109"/>
      <c r="F35" s="118"/>
      <c r="G35" s="397">
        <f>SUM(G19:G34)</f>
        <v>1343048010</v>
      </c>
      <c r="H35" s="398"/>
      <c r="I35" s="402">
        <f>SUM(I19:I34)</f>
        <v>-644143450</v>
      </c>
      <c r="J35" s="402"/>
      <c r="K35" s="400">
        <f>SUM(K19:K33)</f>
        <v>0</v>
      </c>
      <c r="L35" s="400"/>
      <c r="M35" s="400">
        <f>SUM(M19:M34)</f>
        <v>1987191460</v>
      </c>
      <c r="N35" s="400"/>
      <c r="O35" s="119"/>
      <c r="P35" s="117"/>
      <c r="Q35" s="114" t="s">
        <v>5</v>
      </c>
      <c r="R35" s="8" t="s">
        <v>158</v>
      </c>
      <c r="S35" s="209"/>
      <c r="T35" s="29"/>
    </row>
    <row r="36" spans="2:20" ht="49.5" hidden="1" customHeight="1" thickBot="1">
      <c r="D36" s="13"/>
      <c r="F36" s="13"/>
      <c r="G36" s="101"/>
      <c r="H36" s="44"/>
      <c r="I36" s="51"/>
      <c r="J36" s="51"/>
      <c r="K36" s="44"/>
      <c r="L36" s="44"/>
      <c r="M36" s="101"/>
      <c r="N36" s="44"/>
      <c r="O36" s="106"/>
      <c r="P36" s="44"/>
      <c r="Q36" s="19"/>
      <c r="R36" s="70"/>
      <c r="S36" s="210"/>
      <c r="T36" s="29"/>
    </row>
    <row r="37" spans="2:20" ht="23.25" hidden="1" customHeight="1">
      <c r="D37" s="173"/>
      <c r="F37" s="173"/>
      <c r="G37" s="382" t="s">
        <v>300</v>
      </c>
      <c r="H37" s="382"/>
      <c r="I37" s="382" t="s">
        <v>145</v>
      </c>
      <c r="J37" s="382"/>
      <c r="K37" s="78"/>
      <c r="L37" s="78"/>
      <c r="M37" s="199"/>
      <c r="N37" s="78"/>
      <c r="O37" s="79"/>
      <c r="P37" s="78"/>
      <c r="Q37" s="80" t="s">
        <v>171</v>
      </c>
      <c r="R37" s="41"/>
      <c r="S37" s="219"/>
    </row>
    <row r="38" spans="2:20" ht="23.25" hidden="1" customHeight="1">
      <c r="D38" s="174"/>
      <c r="F38" s="174"/>
      <c r="G38" s="96"/>
      <c r="H38" s="82"/>
      <c r="I38" s="83"/>
      <c r="J38" s="143" t="s">
        <v>146</v>
      </c>
      <c r="K38" s="144"/>
      <c r="L38" s="144"/>
      <c r="M38" s="200"/>
      <c r="N38" s="144"/>
      <c r="O38" s="135"/>
      <c r="P38" s="144"/>
      <c r="Q38" s="84" t="s">
        <v>292</v>
      </c>
      <c r="R38" s="56"/>
      <c r="S38" s="175"/>
    </row>
    <row r="39" spans="2:20" ht="25.5" hidden="1" customHeight="1" thickBot="1">
      <c r="D39" s="176"/>
      <c r="F39" s="176"/>
      <c r="G39" s="145"/>
      <c r="H39" s="136"/>
      <c r="I39" s="146"/>
      <c r="J39" s="146"/>
      <c r="K39" s="136"/>
      <c r="L39" s="136"/>
      <c r="M39" s="145" t="s">
        <v>183</v>
      </c>
      <c r="N39" s="136"/>
      <c r="O39" s="136"/>
      <c r="P39" s="136"/>
      <c r="Q39" s="86" t="s">
        <v>185</v>
      </c>
      <c r="R39" s="42"/>
      <c r="S39" s="220"/>
    </row>
    <row r="40" spans="2:20" ht="25.5" hidden="1" customHeight="1">
      <c r="C40" s="3" t="s">
        <v>288</v>
      </c>
      <c r="D40" s="249">
        <v>462.4</v>
      </c>
      <c r="F40" s="249"/>
      <c r="G40" s="250">
        <f>H40*O40</f>
        <v>44737000</v>
      </c>
      <c r="H40" s="251">
        <f>462+100*7</f>
        <v>1162</v>
      </c>
      <c r="I40" s="40">
        <f>J40*O40</f>
        <v>42427000</v>
      </c>
      <c r="J40" s="268">
        <f>H40-N40</f>
        <v>1102</v>
      </c>
      <c r="K40" s="251"/>
      <c r="L40" s="251"/>
      <c r="M40" s="252">
        <f>N40*O40</f>
        <v>2310000</v>
      </c>
      <c r="N40" s="253">
        <v>60</v>
      </c>
      <c r="O40" s="254">
        <v>38500</v>
      </c>
      <c r="P40" s="255" t="s">
        <v>187</v>
      </c>
      <c r="Q40" s="256" t="s">
        <v>229</v>
      </c>
      <c r="R40" s="257"/>
      <c r="S40" s="258" t="s">
        <v>228</v>
      </c>
    </row>
    <row r="41" spans="2:20" ht="30.75" hidden="1" customHeight="1">
      <c r="B41" s="259">
        <v>1099</v>
      </c>
      <c r="D41" s="228">
        <v>900</v>
      </c>
      <c r="E41" s="109"/>
      <c r="F41" s="228"/>
      <c r="G41" s="100">
        <f t="shared" ref="G41:G54" si="4">H41*O41</f>
        <v>184307800</v>
      </c>
      <c r="H41" s="1">
        <f>900+1099</f>
        <v>1999</v>
      </c>
      <c r="I41" s="40">
        <f t="shared" ref="I41:I54" si="5">J41*O41</f>
        <v>168910400</v>
      </c>
      <c r="J41" s="49">
        <f t="shared" ref="J41:J54" si="6">H41-N41</f>
        <v>1832</v>
      </c>
      <c r="K41" s="1"/>
      <c r="L41" s="1"/>
      <c r="M41" s="242">
        <f t="shared" ref="M41:M54" si="7">N41*O41</f>
        <v>15397400</v>
      </c>
      <c r="N41" s="231">
        <v>167</v>
      </c>
      <c r="O41" s="232">
        <v>92200</v>
      </c>
      <c r="P41" s="229" t="s">
        <v>187</v>
      </c>
      <c r="Q41" s="230" t="s">
        <v>186</v>
      </c>
      <c r="R41" s="63"/>
      <c r="S41" s="34" t="s">
        <v>230</v>
      </c>
    </row>
    <row r="42" spans="2:20" ht="30.75" hidden="1" customHeight="1">
      <c r="D42" s="111"/>
      <c r="E42" s="109"/>
      <c r="F42" s="111"/>
      <c r="G42" s="100">
        <f t="shared" si="4"/>
        <v>0</v>
      </c>
      <c r="H42" s="1"/>
      <c r="I42" s="40">
        <f t="shared" si="5"/>
        <v>0</v>
      </c>
      <c r="J42" s="49">
        <f t="shared" si="6"/>
        <v>0</v>
      </c>
      <c r="K42" s="4"/>
      <c r="L42" s="4"/>
      <c r="M42" s="242">
        <f t="shared" si="7"/>
        <v>0</v>
      </c>
      <c r="N42" s="231"/>
      <c r="O42" s="233">
        <v>104000</v>
      </c>
      <c r="P42" s="152" t="s">
        <v>187</v>
      </c>
      <c r="Q42" s="123" t="s">
        <v>188</v>
      </c>
      <c r="R42" s="63" t="s">
        <v>158</v>
      </c>
      <c r="S42" s="38" t="s">
        <v>83</v>
      </c>
    </row>
    <row r="43" spans="2:20" ht="30.75" hidden="1" customHeight="1">
      <c r="D43" s="111"/>
      <c r="E43" s="109"/>
      <c r="F43" s="111"/>
      <c r="G43" s="100">
        <f t="shared" si="4"/>
        <v>0</v>
      </c>
      <c r="H43" s="1"/>
      <c r="I43" s="40">
        <f t="shared" si="5"/>
        <v>0</v>
      </c>
      <c r="J43" s="49">
        <f t="shared" si="6"/>
        <v>0</v>
      </c>
      <c r="K43" s="4"/>
      <c r="L43" s="4"/>
      <c r="M43" s="242">
        <f t="shared" si="7"/>
        <v>0</v>
      </c>
      <c r="N43" s="231"/>
      <c r="O43" s="234">
        <v>259500</v>
      </c>
      <c r="P43" s="153" t="s">
        <v>187</v>
      </c>
      <c r="Q43" s="124" t="s">
        <v>189</v>
      </c>
      <c r="R43" s="63" t="s">
        <v>158</v>
      </c>
      <c r="S43" s="38" t="s">
        <v>180</v>
      </c>
    </row>
    <row r="44" spans="2:20" ht="30.75" hidden="1" customHeight="1">
      <c r="B44" s="259">
        <v>2000</v>
      </c>
      <c r="D44" s="111">
        <v>1897.39</v>
      </c>
      <c r="E44" s="109"/>
      <c r="F44" s="111"/>
      <c r="G44" s="100">
        <f t="shared" si="4"/>
        <v>1077511000</v>
      </c>
      <c r="H44" s="1">
        <f>1897+2200</f>
        <v>4097</v>
      </c>
      <c r="I44" s="40">
        <f t="shared" si="5"/>
        <v>827398000</v>
      </c>
      <c r="J44" s="49">
        <f t="shared" si="6"/>
        <v>3146</v>
      </c>
      <c r="K44" s="4"/>
      <c r="L44" s="4"/>
      <c r="M44" s="242">
        <f t="shared" si="7"/>
        <v>250113000</v>
      </c>
      <c r="N44" s="231">
        <v>951</v>
      </c>
      <c r="O44" s="235">
        <v>263000</v>
      </c>
      <c r="P44" s="154" t="s">
        <v>187</v>
      </c>
      <c r="Q44" s="125" t="s">
        <v>190</v>
      </c>
      <c r="R44" s="63" t="s">
        <v>158</v>
      </c>
      <c r="S44" s="38" t="s">
        <v>172</v>
      </c>
    </row>
    <row r="45" spans="2:20" ht="30.75" hidden="1" customHeight="1">
      <c r="B45" s="259">
        <v>2000</v>
      </c>
      <c r="D45" s="111">
        <v>1860.03</v>
      </c>
      <c r="E45" s="109"/>
      <c r="F45" s="111"/>
      <c r="G45" s="100">
        <f t="shared" si="4"/>
        <v>220458000</v>
      </c>
      <c r="H45" s="1">
        <f>1860+2200</f>
        <v>4060</v>
      </c>
      <c r="I45" s="40">
        <f t="shared" si="5"/>
        <v>168818700</v>
      </c>
      <c r="J45" s="49">
        <f t="shared" si="6"/>
        <v>3109</v>
      </c>
      <c r="K45" s="4"/>
      <c r="L45" s="4"/>
      <c r="M45" s="242">
        <f t="shared" si="7"/>
        <v>51639300</v>
      </c>
      <c r="N45" s="231">
        <v>951</v>
      </c>
      <c r="O45" s="236">
        <v>54300</v>
      </c>
      <c r="P45" s="155" t="s">
        <v>187</v>
      </c>
      <c r="Q45" s="126" t="s">
        <v>191</v>
      </c>
      <c r="R45" s="63" t="s">
        <v>158</v>
      </c>
      <c r="S45" s="38" t="s">
        <v>173</v>
      </c>
    </row>
    <row r="46" spans="2:20" ht="30.75" hidden="1" customHeight="1">
      <c r="B46" s="259">
        <v>1400</v>
      </c>
      <c r="D46" s="111">
        <v>1964.98</v>
      </c>
      <c r="E46" s="109"/>
      <c r="F46" s="111"/>
      <c r="G46" s="100">
        <f t="shared" si="4"/>
        <v>225388000</v>
      </c>
      <c r="H46" s="1">
        <f>1964+1400</f>
        <v>3364</v>
      </c>
      <c r="I46" s="40">
        <f t="shared" si="5"/>
        <v>134469000</v>
      </c>
      <c r="J46" s="49">
        <f t="shared" si="6"/>
        <v>2007</v>
      </c>
      <c r="K46" s="4"/>
      <c r="L46" s="4"/>
      <c r="M46" s="242">
        <f t="shared" si="7"/>
        <v>90919000</v>
      </c>
      <c r="N46" s="231">
        <v>1357</v>
      </c>
      <c r="O46" s="237">
        <v>67000</v>
      </c>
      <c r="P46" s="156" t="s">
        <v>82</v>
      </c>
      <c r="Q46" s="127" t="s">
        <v>215</v>
      </c>
      <c r="R46" s="63" t="s">
        <v>158</v>
      </c>
      <c r="S46" s="38" t="s">
        <v>214</v>
      </c>
    </row>
    <row r="47" spans="2:20" ht="30.75" hidden="1" customHeight="1">
      <c r="D47" s="111"/>
      <c r="E47" s="109"/>
      <c r="F47" s="111"/>
      <c r="G47" s="100">
        <f t="shared" si="4"/>
        <v>0</v>
      </c>
      <c r="H47" s="1"/>
      <c r="I47" s="40">
        <f t="shared" si="5"/>
        <v>0</v>
      </c>
      <c r="J47" s="49">
        <f t="shared" si="6"/>
        <v>0</v>
      </c>
      <c r="K47" s="4"/>
      <c r="L47" s="4"/>
      <c r="M47" s="242">
        <f t="shared" si="7"/>
        <v>0</v>
      </c>
      <c r="N47" s="231"/>
      <c r="O47" s="238">
        <v>24300</v>
      </c>
      <c r="P47" s="157" t="s">
        <v>187</v>
      </c>
      <c r="Q47" s="128" t="s">
        <v>192</v>
      </c>
      <c r="R47" s="63" t="s">
        <v>158</v>
      </c>
      <c r="S47" s="38" t="s">
        <v>174</v>
      </c>
    </row>
    <row r="48" spans="2:20" ht="30.75" hidden="1" customHeight="1">
      <c r="D48" s="111"/>
      <c r="E48" s="109"/>
      <c r="F48" s="111"/>
      <c r="G48" s="100">
        <f t="shared" si="4"/>
        <v>0</v>
      </c>
      <c r="H48" s="1"/>
      <c r="I48" s="40">
        <f t="shared" si="5"/>
        <v>0</v>
      </c>
      <c r="J48" s="49">
        <f t="shared" si="6"/>
        <v>0</v>
      </c>
      <c r="K48" s="4"/>
      <c r="L48" s="4"/>
      <c r="M48" s="242">
        <f t="shared" si="7"/>
        <v>0</v>
      </c>
      <c r="N48" s="231"/>
      <c r="O48" s="238">
        <v>664000</v>
      </c>
      <c r="P48" s="157" t="s">
        <v>187</v>
      </c>
      <c r="Q48" s="128" t="s">
        <v>261</v>
      </c>
      <c r="R48" s="63" t="s">
        <v>158</v>
      </c>
      <c r="S48" s="38" t="s">
        <v>260</v>
      </c>
    </row>
    <row r="49" spans="2:20" ht="30.75" hidden="1" customHeight="1">
      <c r="B49" s="259">
        <v>70</v>
      </c>
      <c r="D49" s="111"/>
      <c r="E49" s="109"/>
      <c r="F49" s="111"/>
      <c r="G49" s="100">
        <f t="shared" si="4"/>
        <v>2394000</v>
      </c>
      <c r="H49" s="1">
        <v>70</v>
      </c>
      <c r="I49" s="40">
        <f t="shared" si="5"/>
        <v>2394000</v>
      </c>
      <c r="J49" s="49">
        <f t="shared" si="6"/>
        <v>70</v>
      </c>
      <c r="K49" s="4"/>
      <c r="L49" s="4"/>
      <c r="M49" s="242">
        <f t="shared" si="7"/>
        <v>0</v>
      </c>
      <c r="N49" s="231"/>
      <c r="O49" s="238">
        <v>34200</v>
      </c>
      <c r="P49" s="157" t="s">
        <v>187</v>
      </c>
      <c r="Q49" s="262" t="s">
        <v>259</v>
      </c>
      <c r="R49" s="63" t="s">
        <v>158</v>
      </c>
      <c r="S49" s="38" t="s">
        <v>258</v>
      </c>
    </row>
    <row r="50" spans="2:20" ht="30.75" hidden="1" customHeight="1">
      <c r="D50" s="111">
        <v>328.27</v>
      </c>
      <c r="E50" s="109"/>
      <c r="F50" s="111"/>
      <c r="G50" s="100">
        <f t="shared" si="4"/>
        <v>9118400</v>
      </c>
      <c r="H50" s="1">
        <f>328</f>
        <v>328</v>
      </c>
      <c r="I50" s="40">
        <f t="shared" si="5"/>
        <v>3558400</v>
      </c>
      <c r="J50" s="49">
        <f t="shared" si="6"/>
        <v>128</v>
      </c>
      <c r="K50" s="4"/>
      <c r="L50" s="4"/>
      <c r="M50" s="242">
        <f t="shared" si="7"/>
        <v>5560000</v>
      </c>
      <c r="N50" s="231">
        <v>200</v>
      </c>
      <c r="O50" s="239">
        <v>27800</v>
      </c>
      <c r="P50" s="157" t="s">
        <v>187</v>
      </c>
      <c r="Q50" s="129" t="s">
        <v>194</v>
      </c>
      <c r="R50" s="63" t="s">
        <v>158</v>
      </c>
      <c r="S50" s="38" t="s">
        <v>175</v>
      </c>
    </row>
    <row r="51" spans="2:20" ht="30.75" hidden="1" customHeight="1">
      <c r="D51" s="111">
        <v>964.17</v>
      </c>
      <c r="E51" s="109"/>
      <c r="F51" s="111"/>
      <c r="G51" s="100">
        <f t="shared" si="4"/>
        <v>29787600</v>
      </c>
      <c r="H51" s="1">
        <v>964</v>
      </c>
      <c r="I51" s="40">
        <f t="shared" si="5"/>
        <v>2163000</v>
      </c>
      <c r="J51" s="49">
        <f t="shared" si="6"/>
        <v>70</v>
      </c>
      <c r="K51" s="4"/>
      <c r="L51" s="4"/>
      <c r="M51" s="242">
        <f t="shared" si="7"/>
        <v>27624600</v>
      </c>
      <c r="N51" s="231">
        <v>894</v>
      </c>
      <c r="O51" s="240">
        <v>30900</v>
      </c>
      <c r="P51" s="158" t="s">
        <v>82</v>
      </c>
      <c r="Q51" s="130" t="s">
        <v>193</v>
      </c>
      <c r="R51" s="63" t="s">
        <v>158</v>
      </c>
      <c r="S51" s="38" t="s">
        <v>176</v>
      </c>
    </row>
    <row r="52" spans="2:20" ht="30.75" hidden="1" customHeight="1">
      <c r="B52" s="259" t="s">
        <v>293</v>
      </c>
      <c r="C52" s="3" t="s">
        <v>289</v>
      </c>
      <c r="D52" s="110">
        <v>27261</v>
      </c>
      <c r="E52" s="109"/>
      <c r="F52" s="110"/>
      <c r="G52" s="100">
        <f t="shared" si="4"/>
        <v>55821780</v>
      </c>
      <c r="H52" s="1">
        <f>27261+700*9+2000*9*1.3</f>
        <v>56961</v>
      </c>
      <c r="I52" s="40">
        <f t="shared" si="5"/>
        <v>44388120</v>
      </c>
      <c r="J52" s="49">
        <f t="shared" si="6"/>
        <v>45294</v>
      </c>
      <c r="K52" s="4"/>
      <c r="L52" s="4"/>
      <c r="M52" s="242">
        <f t="shared" si="7"/>
        <v>11433660</v>
      </c>
      <c r="N52" s="231">
        <v>11667</v>
      </c>
      <c r="O52" s="241">
        <v>980</v>
      </c>
      <c r="P52" s="6" t="s">
        <v>44</v>
      </c>
      <c r="Q52" s="45" t="s">
        <v>84</v>
      </c>
      <c r="R52" s="63" t="s">
        <v>158</v>
      </c>
      <c r="S52" s="38" t="s">
        <v>85</v>
      </c>
    </row>
    <row r="53" spans="2:20" ht="30.75" hidden="1" customHeight="1">
      <c r="B53" s="259" t="s">
        <v>294</v>
      </c>
      <c r="C53" s="3" t="s">
        <v>290</v>
      </c>
      <c r="D53" s="110">
        <v>76580.14</v>
      </c>
      <c r="E53" s="109"/>
      <c r="F53" s="110"/>
      <c r="G53" s="100">
        <f t="shared" si="4"/>
        <v>127609100</v>
      </c>
      <c r="H53" s="1">
        <f>76580+700*20+2000*20*1.3</f>
        <v>142580</v>
      </c>
      <c r="I53" s="40">
        <f t="shared" si="5"/>
        <v>104405330</v>
      </c>
      <c r="J53" s="49">
        <f t="shared" si="6"/>
        <v>116654</v>
      </c>
      <c r="K53" s="4"/>
      <c r="L53" s="4"/>
      <c r="M53" s="242">
        <f t="shared" si="7"/>
        <v>23203770</v>
      </c>
      <c r="N53" s="231">
        <v>25926</v>
      </c>
      <c r="O53" s="241">
        <v>895</v>
      </c>
      <c r="P53" s="6" t="s">
        <v>44</v>
      </c>
      <c r="Q53" s="45" t="s">
        <v>181</v>
      </c>
      <c r="R53" s="63" t="s">
        <v>158</v>
      </c>
      <c r="S53" s="38" t="s">
        <v>128</v>
      </c>
    </row>
    <row r="54" spans="2:20" ht="30.75" hidden="1" customHeight="1">
      <c r="B54" s="259" t="s">
        <v>295</v>
      </c>
      <c r="D54" s="122">
        <v>53865.71</v>
      </c>
      <c r="E54" s="109"/>
      <c r="F54" s="122"/>
      <c r="G54" s="100">
        <f t="shared" si="4"/>
        <v>68257475</v>
      </c>
      <c r="H54" s="58">
        <f>53865+2000*16*1.3</f>
        <v>95465</v>
      </c>
      <c r="I54" s="40">
        <f t="shared" si="5"/>
        <v>54114060</v>
      </c>
      <c r="J54" s="49">
        <f t="shared" si="6"/>
        <v>75684</v>
      </c>
      <c r="K54" s="59"/>
      <c r="L54" s="59"/>
      <c r="M54" s="242">
        <f t="shared" si="7"/>
        <v>14143415</v>
      </c>
      <c r="N54" s="231">
        <v>19781</v>
      </c>
      <c r="O54" s="241">
        <v>715</v>
      </c>
      <c r="P54" s="6" t="s">
        <v>44</v>
      </c>
      <c r="Q54" s="45" t="s">
        <v>157</v>
      </c>
      <c r="R54" s="63" t="s">
        <v>158</v>
      </c>
      <c r="S54" s="61" t="s">
        <v>156</v>
      </c>
    </row>
    <row r="55" spans="2:20" ht="36.75" hidden="1" customHeight="1" thickBot="1">
      <c r="D55" s="131"/>
      <c r="F55" s="131"/>
      <c r="G55" s="397">
        <f>SUM(G40:G54)</f>
        <v>2045390155</v>
      </c>
      <c r="H55" s="398"/>
      <c r="I55" s="399">
        <f>SUM(I40:I54)</f>
        <v>1553046010</v>
      </c>
      <c r="J55" s="399"/>
      <c r="K55" s="411">
        <f>SUM(K42:K53)</f>
        <v>0</v>
      </c>
      <c r="L55" s="411"/>
      <c r="M55" s="411">
        <f>SUM(M40:M54)</f>
        <v>492344145</v>
      </c>
      <c r="N55" s="411"/>
      <c r="O55" s="133"/>
      <c r="P55" s="132"/>
      <c r="Q55" s="134" t="s">
        <v>86</v>
      </c>
      <c r="R55" s="8" t="s">
        <v>158</v>
      </c>
      <c r="S55" s="209"/>
      <c r="T55" s="29"/>
    </row>
    <row r="56" spans="2:20" ht="49.5" hidden="1" customHeight="1" thickBot="1">
      <c r="D56" s="89"/>
      <c r="F56" s="89"/>
      <c r="G56" s="102"/>
      <c r="H56" s="92"/>
      <c r="I56" s="93"/>
      <c r="J56" s="93"/>
      <c r="K56" s="92"/>
      <c r="L56" s="92"/>
      <c r="M56" s="102"/>
      <c r="N56" s="92"/>
      <c r="O56" s="107"/>
      <c r="P56" s="92"/>
      <c r="Q56" s="94"/>
      <c r="R56" s="69"/>
      <c r="S56" s="211"/>
      <c r="T56" s="29"/>
    </row>
    <row r="57" spans="2:20" ht="23.25" hidden="1" customHeight="1">
      <c r="D57" s="77"/>
      <c r="F57" s="173"/>
      <c r="G57" s="382" t="s">
        <v>300</v>
      </c>
      <c r="H57" s="382"/>
      <c r="I57" s="382" t="s">
        <v>145</v>
      </c>
      <c r="J57" s="382"/>
      <c r="K57" s="78"/>
      <c r="L57" s="78"/>
      <c r="M57" s="199"/>
      <c r="N57" s="78"/>
      <c r="O57" s="79"/>
      <c r="P57" s="78"/>
      <c r="Q57" s="80" t="s">
        <v>171</v>
      </c>
      <c r="R57" s="41"/>
      <c r="S57" s="219"/>
    </row>
    <row r="58" spans="2:20" ht="23.25" hidden="1" customHeight="1">
      <c r="D58" s="81"/>
      <c r="F58" s="174"/>
      <c r="G58" s="96"/>
      <c r="H58" s="82"/>
      <c r="I58" s="83"/>
      <c r="J58" s="143" t="s">
        <v>146</v>
      </c>
      <c r="K58" s="144"/>
      <c r="L58" s="144"/>
      <c r="M58" s="200"/>
      <c r="N58" s="144"/>
      <c r="O58" s="135"/>
      <c r="P58" s="144"/>
      <c r="Q58" s="84" t="s">
        <v>292</v>
      </c>
      <c r="R58" s="56"/>
      <c r="S58" s="175"/>
    </row>
    <row r="59" spans="2:20" ht="23.25" hidden="1" customHeight="1" thickBot="1">
      <c r="D59" s="85"/>
      <c r="F59" s="85"/>
      <c r="G59" s="145"/>
      <c r="H59" s="136"/>
      <c r="I59" s="146"/>
      <c r="J59" s="146"/>
      <c r="K59" s="136"/>
      <c r="L59" s="136"/>
      <c r="M59" s="145" t="s">
        <v>183</v>
      </c>
      <c r="N59" s="136"/>
      <c r="O59" s="136"/>
      <c r="P59" s="136"/>
      <c r="Q59" s="86" t="s">
        <v>195</v>
      </c>
      <c r="R59" s="42"/>
      <c r="S59" s="205"/>
    </row>
    <row r="60" spans="2:20" ht="25.5" hidden="1" customHeight="1">
      <c r="D60" s="385" t="s">
        <v>144</v>
      </c>
      <c r="F60" s="385" t="s">
        <v>144</v>
      </c>
      <c r="G60" s="406" t="s">
        <v>63</v>
      </c>
      <c r="H60" s="406"/>
      <c r="I60" s="409" t="s">
        <v>170</v>
      </c>
      <c r="J60" s="409"/>
      <c r="K60" s="401" t="s">
        <v>2</v>
      </c>
      <c r="L60" s="401"/>
      <c r="M60" s="401" t="s">
        <v>169</v>
      </c>
      <c r="N60" s="401"/>
      <c r="O60" s="426" t="s">
        <v>139</v>
      </c>
      <c r="P60" s="401" t="s">
        <v>1</v>
      </c>
      <c r="Q60" s="401" t="s">
        <v>138</v>
      </c>
      <c r="R60" s="62"/>
      <c r="S60" s="424" t="s">
        <v>0</v>
      </c>
    </row>
    <row r="61" spans="2:20" ht="25.5" hidden="1" customHeight="1">
      <c r="D61" s="386"/>
      <c r="F61" s="386"/>
      <c r="G61" s="97" t="s">
        <v>143</v>
      </c>
      <c r="H61" s="49" t="s">
        <v>142</v>
      </c>
      <c r="I61" s="49" t="s">
        <v>143</v>
      </c>
      <c r="J61" s="49" t="s">
        <v>142</v>
      </c>
      <c r="K61" s="1" t="s">
        <v>4</v>
      </c>
      <c r="L61" s="1" t="s">
        <v>3</v>
      </c>
      <c r="M61" s="100" t="s">
        <v>141</v>
      </c>
      <c r="N61" s="1" t="s">
        <v>140</v>
      </c>
      <c r="O61" s="427"/>
      <c r="P61" s="422"/>
      <c r="Q61" s="422"/>
      <c r="R61" s="2"/>
      <c r="S61" s="425"/>
    </row>
    <row r="62" spans="2:20" ht="34.5" hidden="1" customHeight="1">
      <c r="D62" s="35"/>
      <c r="F62" s="35"/>
      <c r="G62" s="100">
        <f>H62*O62</f>
        <v>0</v>
      </c>
      <c r="H62" s="1"/>
      <c r="I62" s="40">
        <f>J62*O62</f>
        <v>0</v>
      </c>
      <c r="J62" s="49">
        <f>H62-N62</f>
        <v>0</v>
      </c>
      <c r="K62" s="6"/>
      <c r="L62" s="4"/>
      <c r="M62" s="191"/>
      <c r="N62" s="4"/>
      <c r="O62" s="147">
        <v>25900</v>
      </c>
      <c r="P62" s="159" t="s">
        <v>82</v>
      </c>
      <c r="Q62" s="137" t="s">
        <v>196</v>
      </c>
      <c r="R62" s="63" t="s">
        <v>158</v>
      </c>
      <c r="S62" s="38" t="s">
        <v>177</v>
      </c>
      <c r="T62" s="29"/>
    </row>
    <row r="63" spans="2:20" ht="34.5" hidden="1" customHeight="1">
      <c r="D63" s="35"/>
      <c r="F63" s="35"/>
      <c r="G63" s="100">
        <f>H63*O63</f>
        <v>0</v>
      </c>
      <c r="H63" s="1"/>
      <c r="I63" s="40">
        <f>J63*O63</f>
        <v>0</v>
      </c>
      <c r="J63" s="49">
        <f>H63-N63</f>
        <v>0</v>
      </c>
      <c r="K63" s="6"/>
      <c r="L63" s="4"/>
      <c r="M63" s="191"/>
      <c r="N63" s="4"/>
      <c r="O63" s="148">
        <v>39700</v>
      </c>
      <c r="P63" s="160" t="s">
        <v>82</v>
      </c>
      <c r="Q63" s="138" t="s">
        <v>197</v>
      </c>
      <c r="R63" s="63" t="s">
        <v>158</v>
      </c>
      <c r="S63" s="38" t="s">
        <v>178</v>
      </c>
      <c r="T63" s="29"/>
    </row>
    <row r="64" spans="2:20" ht="34.5" hidden="1" customHeight="1">
      <c r="B64" s="259">
        <v>1613</v>
      </c>
      <c r="D64" s="35">
        <v>1964.98</v>
      </c>
      <c r="F64" s="35"/>
      <c r="G64" s="100">
        <f>H64*O64</f>
        <v>29689100</v>
      </c>
      <c r="H64" s="1">
        <f>1964+1613</f>
        <v>3577</v>
      </c>
      <c r="I64" s="40">
        <f>J64*O64</f>
        <v>18426000</v>
      </c>
      <c r="J64" s="49">
        <f>H64-N64</f>
        <v>2220</v>
      </c>
      <c r="K64" s="6"/>
      <c r="L64" s="4"/>
      <c r="M64" s="191">
        <f>N64*O64</f>
        <v>11263100</v>
      </c>
      <c r="N64" s="4">
        <v>1357</v>
      </c>
      <c r="O64" s="149">
        <v>8300</v>
      </c>
      <c r="P64" s="161" t="s">
        <v>82</v>
      </c>
      <c r="Q64" s="222" t="s">
        <v>217</v>
      </c>
      <c r="R64" s="63" t="s">
        <v>158</v>
      </c>
      <c r="S64" s="38" t="s">
        <v>216</v>
      </c>
      <c r="T64" s="29"/>
    </row>
    <row r="65" spans="2:20" ht="34.5" hidden="1" customHeight="1">
      <c r="D65" s="35">
        <v>333.12</v>
      </c>
      <c r="F65" s="35"/>
      <c r="G65" s="100">
        <f>H65*O65</f>
        <v>1698300</v>
      </c>
      <c r="H65" s="1">
        <v>333</v>
      </c>
      <c r="I65" s="40">
        <f>J65*O65</f>
        <v>234600</v>
      </c>
      <c r="J65" s="49">
        <f>H65-N65</f>
        <v>46</v>
      </c>
      <c r="K65" s="6"/>
      <c r="L65" s="4"/>
      <c r="M65" s="191">
        <f>N65*O65</f>
        <v>1463700</v>
      </c>
      <c r="N65" s="4">
        <v>287</v>
      </c>
      <c r="O65" s="150">
        <v>5100</v>
      </c>
      <c r="P65" s="162" t="s">
        <v>82</v>
      </c>
      <c r="Q65" s="139" t="s">
        <v>198</v>
      </c>
      <c r="R65" s="63" t="s">
        <v>158</v>
      </c>
      <c r="S65" s="38" t="s">
        <v>179</v>
      </c>
      <c r="T65" s="29"/>
    </row>
    <row r="66" spans="2:20" ht="33.75" hidden="1" customHeight="1" thickBot="1">
      <c r="D66" s="21"/>
      <c r="F66" s="21"/>
      <c r="G66" s="395">
        <f>SUM(G62:G65)</f>
        <v>31387400</v>
      </c>
      <c r="H66" s="396"/>
      <c r="I66" s="416">
        <f>SUM(I62:I65)</f>
        <v>18660600</v>
      </c>
      <c r="J66" s="417"/>
      <c r="K66" s="8">
        <f>L66*O66</f>
        <v>0</v>
      </c>
      <c r="L66" s="15"/>
      <c r="M66" s="418">
        <f>SUM(M64:M65)</f>
        <v>12726800</v>
      </c>
      <c r="N66" s="419"/>
      <c r="O66" s="23"/>
      <c r="P66" s="8"/>
      <c r="Q66" s="134" t="s">
        <v>199</v>
      </c>
      <c r="R66" s="120" t="s">
        <v>158</v>
      </c>
      <c r="S66" s="121"/>
      <c r="T66" s="29"/>
    </row>
    <row r="67" spans="2:20" ht="25.5" hidden="1" customHeight="1" thickBot="1">
      <c r="D67" s="85"/>
      <c r="F67" s="85"/>
      <c r="G67" s="145"/>
      <c r="H67" s="136"/>
      <c r="I67" s="146"/>
      <c r="J67" s="146"/>
      <c r="K67" s="136"/>
      <c r="L67" s="136"/>
      <c r="M67" s="145" t="s">
        <v>183</v>
      </c>
      <c r="N67" s="136"/>
      <c r="O67" s="136"/>
      <c r="P67" s="136"/>
      <c r="Q67" s="86" t="s">
        <v>200</v>
      </c>
      <c r="R67" s="42"/>
      <c r="S67" s="205"/>
    </row>
    <row r="68" spans="2:20" ht="30" hidden="1" customHeight="1">
      <c r="B68" s="259" t="s">
        <v>262</v>
      </c>
      <c r="C68" s="3">
        <v>300</v>
      </c>
      <c r="D68" s="91">
        <v>184.4</v>
      </c>
      <c r="F68" s="91"/>
      <c r="G68" s="141">
        <f>H68*O68</f>
        <v>50483200</v>
      </c>
      <c r="H68" s="49">
        <f>184+300+540</f>
        <v>1024</v>
      </c>
      <c r="I68" s="40">
        <f>J68*O68</f>
        <v>39144200</v>
      </c>
      <c r="J68" s="49">
        <f>H68-N68</f>
        <v>794</v>
      </c>
      <c r="K68" s="1"/>
      <c r="L68" s="1"/>
      <c r="M68" s="243">
        <f>N68*O68</f>
        <v>11339000</v>
      </c>
      <c r="N68" s="244">
        <v>230</v>
      </c>
      <c r="O68" s="151">
        <v>49300</v>
      </c>
      <c r="P68" s="163" t="s">
        <v>82</v>
      </c>
      <c r="Q68" s="140" t="s">
        <v>201</v>
      </c>
      <c r="R68" s="63" t="s">
        <v>158</v>
      </c>
      <c r="S68" s="212">
        <v>80101</v>
      </c>
    </row>
    <row r="69" spans="2:20" ht="33" hidden="1" customHeight="1">
      <c r="C69" s="3">
        <v>30</v>
      </c>
      <c r="D69" s="20"/>
      <c r="F69" s="20"/>
      <c r="G69" s="141">
        <f t="shared" ref="G69:G78" si="8">H69*O69</f>
        <v>2082000</v>
      </c>
      <c r="H69" s="1">
        <v>30</v>
      </c>
      <c r="I69" s="40">
        <f t="shared" ref="I69:I78" si="9">J69*O69</f>
        <v>2082000</v>
      </c>
      <c r="J69" s="49">
        <f t="shared" ref="J69:J78" si="10">H69-N69</f>
        <v>30</v>
      </c>
      <c r="K69" s="6"/>
      <c r="L69" s="4"/>
      <c r="M69" s="243">
        <f t="shared" ref="M69:M78" si="11">N69*O69</f>
        <v>0</v>
      </c>
      <c r="N69" s="245"/>
      <c r="O69" s="246">
        <v>69400</v>
      </c>
      <c r="P69" s="6" t="s">
        <v>36</v>
      </c>
      <c r="Q69" s="45" t="s">
        <v>203</v>
      </c>
      <c r="R69" s="63" t="s">
        <v>158</v>
      </c>
      <c r="S69" s="38" t="s">
        <v>114</v>
      </c>
    </row>
    <row r="70" spans="2:20" ht="33" hidden="1" customHeight="1">
      <c r="C70" s="3">
        <v>100</v>
      </c>
      <c r="D70" s="20"/>
      <c r="F70" s="20"/>
      <c r="G70" s="141">
        <f t="shared" si="8"/>
        <v>9650000</v>
      </c>
      <c r="H70" s="1">
        <v>100</v>
      </c>
      <c r="I70" s="40">
        <f t="shared" si="9"/>
        <v>-59830000</v>
      </c>
      <c r="J70" s="49">
        <f t="shared" si="10"/>
        <v>-620</v>
      </c>
      <c r="K70" s="6"/>
      <c r="L70" s="4"/>
      <c r="M70" s="243">
        <f t="shared" si="11"/>
        <v>69480000</v>
      </c>
      <c r="N70" s="245">
        <v>720</v>
      </c>
      <c r="O70" s="246">
        <v>96500</v>
      </c>
      <c r="P70" s="6" t="s">
        <v>36</v>
      </c>
      <c r="Q70" s="45" t="s">
        <v>104</v>
      </c>
      <c r="R70" s="63" t="s">
        <v>158</v>
      </c>
      <c r="S70" s="38" t="s">
        <v>103</v>
      </c>
    </row>
    <row r="71" spans="2:20" ht="33" hidden="1" customHeight="1">
      <c r="C71" s="266">
        <v>600</v>
      </c>
      <c r="D71" s="20"/>
      <c r="F71" s="20"/>
      <c r="G71" s="141">
        <f t="shared" si="8"/>
        <v>53750000</v>
      </c>
      <c r="H71" s="1">
        <v>500</v>
      </c>
      <c r="I71" s="40">
        <f t="shared" si="9"/>
        <v>53750000</v>
      </c>
      <c r="J71" s="49">
        <f t="shared" si="10"/>
        <v>500</v>
      </c>
      <c r="K71" s="6"/>
      <c r="L71" s="4"/>
      <c r="M71" s="243">
        <f t="shared" si="11"/>
        <v>0</v>
      </c>
      <c r="N71" s="245"/>
      <c r="O71" s="246">
        <v>107500</v>
      </c>
      <c r="P71" s="6" t="s">
        <v>36</v>
      </c>
      <c r="Q71" s="45" t="s">
        <v>130</v>
      </c>
      <c r="R71" s="63" t="s">
        <v>158</v>
      </c>
      <c r="S71" s="38" t="s">
        <v>129</v>
      </c>
    </row>
    <row r="72" spans="2:20" ht="33" hidden="1" customHeight="1">
      <c r="C72" s="266">
        <v>470</v>
      </c>
      <c r="D72" s="20"/>
      <c r="F72" s="20"/>
      <c r="G72" s="141">
        <f t="shared" si="8"/>
        <v>42000000</v>
      </c>
      <c r="H72" s="1">
        <v>350</v>
      </c>
      <c r="I72" s="40">
        <f t="shared" si="9"/>
        <v>42000000</v>
      </c>
      <c r="J72" s="49">
        <f t="shared" si="10"/>
        <v>350</v>
      </c>
      <c r="K72" s="6"/>
      <c r="L72" s="4"/>
      <c r="M72" s="243">
        <f t="shared" si="11"/>
        <v>0</v>
      </c>
      <c r="N72" s="245"/>
      <c r="O72" s="246">
        <v>120000</v>
      </c>
      <c r="P72" s="6" t="s">
        <v>36</v>
      </c>
      <c r="Q72" s="45" t="s">
        <v>116</v>
      </c>
      <c r="R72" s="63" t="s">
        <v>158</v>
      </c>
      <c r="S72" s="38" t="s">
        <v>115</v>
      </c>
    </row>
    <row r="73" spans="2:20" ht="33" hidden="1" customHeight="1">
      <c r="D73" s="20">
        <v>1521.75</v>
      </c>
      <c r="F73" s="20"/>
      <c r="G73" s="141">
        <f t="shared" si="8"/>
        <v>238036500</v>
      </c>
      <c r="H73" s="1">
        <v>1521</v>
      </c>
      <c r="I73" s="40">
        <f t="shared" si="9"/>
        <v>-5164500</v>
      </c>
      <c r="J73" s="49">
        <f t="shared" si="10"/>
        <v>-33</v>
      </c>
      <c r="K73" s="6"/>
      <c r="L73" s="4"/>
      <c r="M73" s="243">
        <f t="shared" si="11"/>
        <v>243201000</v>
      </c>
      <c r="N73" s="245">
        <v>1554</v>
      </c>
      <c r="O73" s="246">
        <v>156500</v>
      </c>
      <c r="P73" s="6" t="s">
        <v>36</v>
      </c>
      <c r="Q73" s="45" t="s">
        <v>232</v>
      </c>
      <c r="R73" s="63" t="s">
        <v>158</v>
      </c>
      <c r="S73" s="38" t="s">
        <v>231</v>
      </c>
    </row>
    <row r="74" spans="2:20" ht="33" hidden="1" customHeight="1">
      <c r="D74" s="20"/>
      <c r="F74" s="20"/>
      <c r="G74" s="141">
        <f t="shared" si="8"/>
        <v>0</v>
      </c>
      <c r="H74" s="1"/>
      <c r="I74" s="40">
        <f t="shared" si="9"/>
        <v>0</v>
      </c>
      <c r="J74" s="49">
        <f t="shared" si="10"/>
        <v>0</v>
      </c>
      <c r="K74" s="6"/>
      <c r="L74" s="4"/>
      <c r="M74" s="243">
        <f t="shared" si="11"/>
        <v>0</v>
      </c>
      <c r="N74" s="245"/>
      <c r="O74" s="246">
        <v>37500</v>
      </c>
      <c r="P74" s="6" t="s">
        <v>36</v>
      </c>
      <c r="Q74" s="45" t="s">
        <v>147</v>
      </c>
      <c r="R74" s="63" t="s">
        <v>158</v>
      </c>
      <c r="S74" s="36" t="s">
        <v>132</v>
      </c>
    </row>
    <row r="75" spans="2:20" ht="33" hidden="1" customHeight="1">
      <c r="D75" s="20"/>
      <c r="F75" s="20"/>
      <c r="G75" s="141">
        <f t="shared" si="8"/>
        <v>0</v>
      </c>
      <c r="H75" s="1"/>
      <c r="I75" s="40">
        <f t="shared" si="9"/>
        <v>0</v>
      </c>
      <c r="J75" s="49">
        <f t="shared" si="10"/>
        <v>0</v>
      </c>
      <c r="K75" s="6"/>
      <c r="L75" s="4"/>
      <c r="M75" s="243">
        <f t="shared" si="11"/>
        <v>0</v>
      </c>
      <c r="N75" s="245"/>
      <c r="O75" s="246">
        <v>32400</v>
      </c>
      <c r="P75" s="6" t="s">
        <v>36</v>
      </c>
      <c r="Q75" s="45" t="s">
        <v>133</v>
      </c>
      <c r="R75" s="63" t="s">
        <v>158</v>
      </c>
      <c r="S75" s="36" t="s">
        <v>131</v>
      </c>
    </row>
    <row r="76" spans="2:20" ht="33" hidden="1" customHeight="1">
      <c r="D76" s="20"/>
      <c r="F76" s="20"/>
      <c r="G76" s="141">
        <f t="shared" si="8"/>
        <v>0</v>
      </c>
      <c r="H76" s="1"/>
      <c r="I76" s="40">
        <f t="shared" si="9"/>
        <v>0</v>
      </c>
      <c r="J76" s="49">
        <f t="shared" si="10"/>
        <v>0</v>
      </c>
      <c r="K76" s="6"/>
      <c r="L76" s="4"/>
      <c r="M76" s="243">
        <f t="shared" si="11"/>
        <v>0</v>
      </c>
      <c r="N76" s="245"/>
      <c r="O76" s="246">
        <v>13400</v>
      </c>
      <c r="P76" s="6" t="s">
        <v>36</v>
      </c>
      <c r="Q76" s="46" t="s">
        <v>90</v>
      </c>
      <c r="R76" s="63" t="s">
        <v>158</v>
      </c>
      <c r="S76" s="36" t="s">
        <v>88</v>
      </c>
    </row>
    <row r="77" spans="2:20" ht="33" hidden="1" customHeight="1">
      <c r="B77" s="259">
        <v>5520</v>
      </c>
      <c r="C77" s="3">
        <v>3500</v>
      </c>
      <c r="D77" s="20">
        <v>7547.5</v>
      </c>
      <c r="F77" s="20"/>
      <c r="G77" s="141">
        <f t="shared" si="8"/>
        <v>88799120</v>
      </c>
      <c r="H77" s="1">
        <f>7547+3500+5520</f>
        <v>16567</v>
      </c>
      <c r="I77" s="40">
        <f t="shared" si="9"/>
        <v>84484320</v>
      </c>
      <c r="J77" s="49">
        <f t="shared" si="10"/>
        <v>15762</v>
      </c>
      <c r="K77" s="6"/>
      <c r="L77" s="4"/>
      <c r="M77" s="243">
        <f t="shared" si="11"/>
        <v>4314800</v>
      </c>
      <c r="N77" s="245">
        <v>805</v>
      </c>
      <c r="O77" s="246">
        <v>5360</v>
      </c>
      <c r="P77" s="4" t="s">
        <v>47</v>
      </c>
      <c r="Q77" s="46" t="s">
        <v>46</v>
      </c>
      <c r="R77" s="63" t="s">
        <v>158</v>
      </c>
      <c r="S77" s="36" t="s">
        <v>45</v>
      </c>
    </row>
    <row r="78" spans="2:20" ht="33" hidden="1" customHeight="1">
      <c r="C78" s="3">
        <v>300</v>
      </c>
      <c r="D78" s="20"/>
      <c r="F78" s="20"/>
      <c r="G78" s="141">
        <f t="shared" si="8"/>
        <v>18960000</v>
      </c>
      <c r="H78" s="1">
        <v>300</v>
      </c>
      <c r="I78" s="40">
        <f t="shared" si="9"/>
        <v>18960000</v>
      </c>
      <c r="J78" s="49">
        <f t="shared" si="10"/>
        <v>300</v>
      </c>
      <c r="K78" s="6"/>
      <c r="L78" s="4"/>
      <c r="M78" s="243">
        <f t="shared" si="11"/>
        <v>0</v>
      </c>
      <c r="N78" s="245"/>
      <c r="O78" s="246">
        <v>63200</v>
      </c>
      <c r="P78" s="6" t="s">
        <v>36</v>
      </c>
      <c r="Q78" s="46" t="s">
        <v>87</v>
      </c>
      <c r="R78" s="63" t="s">
        <v>158</v>
      </c>
      <c r="S78" s="36" t="s">
        <v>89</v>
      </c>
    </row>
    <row r="79" spans="2:20" ht="33" hidden="1" customHeight="1" thickBot="1">
      <c r="D79" s="142"/>
      <c r="F79" s="142"/>
      <c r="G79" s="412">
        <f>SUM(G68:G78)</f>
        <v>503760820</v>
      </c>
      <c r="H79" s="413"/>
      <c r="I79" s="399">
        <f>SUM(I68:I78)</f>
        <v>175426020</v>
      </c>
      <c r="J79" s="399"/>
      <c r="K79" s="411">
        <f>SUM(K67:K78)</f>
        <v>0</v>
      </c>
      <c r="L79" s="411"/>
      <c r="M79" s="411">
        <f>SUM(M68:M78)</f>
        <v>328334800</v>
      </c>
      <c r="N79" s="411"/>
      <c r="O79" s="133"/>
      <c r="P79" s="132"/>
      <c r="Q79" s="132" t="s">
        <v>6</v>
      </c>
      <c r="R79" s="8"/>
      <c r="S79" s="209"/>
    </row>
    <row r="80" spans="2:20" ht="49.5" hidden="1" customHeight="1" thickBot="1">
      <c r="D80" s="13"/>
      <c r="F80" s="13"/>
      <c r="G80" s="99"/>
      <c r="H80" s="37"/>
      <c r="I80" s="50"/>
      <c r="J80" s="50"/>
      <c r="K80" s="37"/>
      <c r="L80" s="37"/>
      <c r="M80" s="99"/>
      <c r="N80" s="37"/>
      <c r="O80" s="24"/>
      <c r="P80" s="9"/>
      <c r="Q80" s="9"/>
      <c r="R80" s="70"/>
      <c r="S80" s="208"/>
    </row>
    <row r="81" spans="2:20" ht="25.5" hidden="1" customHeight="1">
      <c r="D81" s="77"/>
      <c r="F81" s="173"/>
      <c r="G81" s="382" t="s">
        <v>300</v>
      </c>
      <c r="H81" s="382"/>
      <c r="I81" s="382" t="s">
        <v>145</v>
      </c>
      <c r="J81" s="382"/>
      <c r="K81" s="78"/>
      <c r="L81" s="78"/>
      <c r="M81" s="199"/>
      <c r="N81" s="78"/>
      <c r="O81" s="79"/>
      <c r="P81" s="78"/>
      <c r="Q81" s="80" t="s">
        <v>171</v>
      </c>
      <c r="R81" s="41"/>
      <c r="S81" s="219"/>
    </row>
    <row r="82" spans="2:20" ht="25.5" hidden="1" customHeight="1">
      <c r="D82" s="81"/>
      <c r="F82" s="174"/>
      <c r="G82" s="96"/>
      <c r="H82" s="82"/>
      <c r="I82" s="83"/>
      <c r="J82" s="143" t="s">
        <v>146</v>
      </c>
      <c r="K82" s="144"/>
      <c r="L82" s="144"/>
      <c r="M82" s="200"/>
      <c r="N82" s="144"/>
      <c r="O82" s="135"/>
      <c r="P82" s="144"/>
      <c r="Q82" s="84" t="s">
        <v>292</v>
      </c>
      <c r="R82" s="56"/>
      <c r="S82" s="175"/>
    </row>
    <row r="83" spans="2:20" ht="25.5" hidden="1" customHeight="1" thickBot="1">
      <c r="D83" s="85"/>
      <c r="F83" s="85"/>
      <c r="G83" s="145"/>
      <c r="H83" s="136"/>
      <c r="I83" s="146"/>
      <c r="J83" s="146"/>
      <c r="K83" s="136"/>
      <c r="L83" s="136"/>
      <c r="M83" s="145" t="s">
        <v>183</v>
      </c>
      <c r="N83" s="136"/>
      <c r="O83" s="136"/>
      <c r="P83" s="136"/>
      <c r="Q83" s="86" t="s">
        <v>202</v>
      </c>
      <c r="R83" s="42"/>
      <c r="S83" s="205"/>
    </row>
    <row r="84" spans="2:20" ht="30" hidden="1" customHeight="1">
      <c r="D84" s="385" t="s">
        <v>144</v>
      </c>
      <c r="F84" s="385"/>
      <c r="G84" s="406" t="s">
        <v>63</v>
      </c>
      <c r="H84" s="406"/>
      <c r="I84" s="409" t="s">
        <v>170</v>
      </c>
      <c r="J84" s="409"/>
      <c r="K84" s="401" t="s">
        <v>2</v>
      </c>
      <c r="L84" s="401"/>
      <c r="M84" s="401" t="s">
        <v>169</v>
      </c>
      <c r="N84" s="401"/>
      <c r="O84" s="426" t="s">
        <v>139</v>
      </c>
      <c r="P84" s="401" t="s">
        <v>1</v>
      </c>
      <c r="Q84" s="401" t="s">
        <v>138</v>
      </c>
      <c r="R84" s="63"/>
      <c r="S84" s="424" t="s">
        <v>0</v>
      </c>
    </row>
    <row r="85" spans="2:20" ht="30" hidden="1" customHeight="1">
      <c r="D85" s="386"/>
      <c r="F85" s="386"/>
      <c r="G85" s="97" t="s">
        <v>143</v>
      </c>
      <c r="H85" s="49" t="s">
        <v>142</v>
      </c>
      <c r="I85" s="49" t="s">
        <v>143</v>
      </c>
      <c r="J85" s="49" t="s">
        <v>142</v>
      </c>
      <c r="K85" s="1" t="s">
        <v>4</v>
      </c>
      <c r="L85" s="1" t="s">
        <v>3</v>
      </c>
      <c r="M85" s="100" t="s">
        <v>141</v>
      </c>
      <c r="N85" s="1" t="s">
        <v>140</v>
      </c>
      <c r="O85" s="427"/>
      <c r="P85" s="422"/>
      <c r="Q85" s="422"/>
      <c r="R85" s="63"/>
      <c r="S85" s="425"/>
    </row>
    <row r="86" spans="2:20" ht="31.5" hidden="1" customHeight="1">
      <c r="D86" s="20">
        <v>7265</v>
      </c>
      <c r="F86" s="20"/>
      <c r="G86" s="100">
        <f>H86*O86</f>
        <v>58410600</v>
      </c>
      <c r="H86" s="1">
        <v>7265</v>
      </c>
      <c r="I86" s="40">
        <f>J86*O86</f>
        <v>3770760</v>
      </c>
      <c r="J86" s="49">
        <f>H86-N86</f>
        <v>469</v>
      </c>
      <c r="K86" s="4"/>
      <c r="L86" s="4"/>
      <c r="M86" s="191">
        <f>N86*O86</f>
        <v>54639840</v>
      </c>
      <c r="N86" s="4">
        <v>6796</v>
      </c>
      <c r="O86" s="22">
        <v>8040</v>
      </c>
      <c r="P86" s="4" t="s">
        <v>48</v>
      </c>
      <c r="Q86" s="6" t="s">
        <v>94</v>
      </c>
      <c r="R86" s="63" t="s">
        <v>158</v>
      </c>
      <c r="S86" s="36" t="s">
        <v>91</v>
      </c>
    </row>
    <row r="87" spans="2:20" ht="31.5" hidden="1" customHeight="1">
      <c r="D87" s="20">
        <v>53957.8</v>
      </c>
      <c r="F87" s="20"/>
      <c r="G87" s="100">
        <f>H87*O87</f>
        <v>349637805.00666648</v>
      </c>
      <c r="H87" s="267">
        <v>54974.497642557624</v>
      </c>
      <c r="I87" s="40">
        <f>J87*O87</f>
        <v>17779365.006666489</v>
      </c>
      <c r="J87" s="49">
        <f>H87-N87</f>
        <v>2795.4976425576242</v>
      </c>
      <c r="K87" s="4"/>
      <c r="L87" s="4"/>
      <c r="M87" s="191">
        <f>N87*O87</f>
        <v>331858440</v>
      </c>
      <c r="N87" s="4">
        <v>52179</v>
      </c>
      <c r="O87" s="22">
        <v>6360</v>
      </c>
      <c r="P87" s="4" t="s">
        <v>48</v>
      </c>
      <c r="Q87" s="6" t="s">
        <v>95</v>
      </c>
      <c r="R87" s="63" t="s">
        <v>158</v>
      </c>
      <c r="S87" s="36" t="s">
        <v>92</v>
      </c>
    </row>
    <row r="88" spans="2:20" ht="31.5" hidden="1" customHeight="1">
      <c r="B88" s="259" t="s">
        <v>263</v>
      </c>
      <c r="D88" s="20">
        <v>27030.59</v>
      </c>
      <c r="F88" s="20"/>
      <c r="G88" s="100">
        <f>H88*O88</f>
        <v>171782280</v>
      </c>
      <c r="H88" s="223">
        <v>28069</v>
      </c>
      <c r="I88" s="40">
        <f>J88*O88</f>
        <v>171782280</v>
      </c>
      <c r="J88" s="49">
        <f>H88-N88</f>
        <v>28069</v>
      </c>
      <c r="K88" s="4"/>
      <c r="L88" s="4"/>
      <c r="M88" s="191">
        <f>N88*O88</f>
        <v>0</v>
      </c>
      <c r="N88" s="4"/>
      <c r="O88" s="22">
        <v>6120</v>
      </c>
      <c r="P88" s="4" t="s">
        <v>48</v>
      </c>
      <c r="Q88" s="4" t="s">
        <v>96</v>
      </c>
      <c r="R88" s="63" t="s">
        <v>158</v>
      </c>
      <c r="S88" s="36" t="s">
        <v>93</v>
      </c>
    </row>
    <row r="89" spans="2:20" ht="31.5" hidden="1" customHeight="1">
      <c r="D89" s="20"/>
      <c r="F89" s="20"/>
      <c r="G89" s="100">
        <f>H89*O89</f>
        <v>0</v>
      </c>
      <c r="H89" s="1"/>
      <c r="I89" s="40">
        <f>J89*O89</f>
        <v>0</v>
      </c>
      <c r="J89" s="49">
        <f>H89-N89</f>
        <v>0</v>
      </c>
      <c r="K89" s="4"/>
      <c r="L89" s="4"/>
      <c r="M89" s="191">
        <f>N89*O89</f>
        <v>0</v>
      </c>
      <c r="N89" s="4"/>
      <c r="O89" s="22">
        <v>325</v>
      </c>
      <c r="P89" s="4" t="s">
        <v>48</v>
      </c>
      <c r="Q89" s="4" t="s">
        <v>118</v>
      </c>
      <c r="R89" s="63" t="s">
        <v>158</v>
      </c>
      <c r="S89" s="36" t="s">
        <v>117</v>
      </c>
    </row>
    <row r="90" spans="2:20" ht="31.5" hidden="1" customHeight="1">
      <c r="D90" s="20"/>
      <c r="F90" s="20"/>
      <c r="G90" s="100">
        <f>H90*O90</f>
        <v>0</v>
      </c>
      <c r="H90" s="1"/>
      <c r="I90" s="40">
        <f>J90*O90</f>
        <v>0</v>
      </c>
      <c r="J90" s="49">
        <f>H90-N90</f>
        <v>0</v>
      </c>
      <c r="K90" s="4"/>
      <c r="L90" s="4"/>
      <c r="M90" s="191">
        <f>N90*O90</f>
        <v>0</v>
      </c>
      <c r="N90" s="4"/>
      <c r="O90" s="22">
        <v>12600</v>
      </c>
      <c r="P90" s="4" t="s">
        <v>48</v>
      </c>
      <c r="Q90" s="45" t="s">
        <v>135</v>
      </c>
      <c r="R90" s="63" t="s">
        <v>158</v>
      </c>
      <c r="S90" s="36" t="s">
        <v>134</v>
      </c>
    </row>
    <row r="91" spans="2:20" ht="31.5" hidden="1" customHeight="1" thickBot="1">
      <c r="D91" s="57"/>
      <c r="F91" s="57"/>
      <c r="G91" s="414">
        <f>SUM(G86:G90)</f>
        <v>579830685.00666642</v>
      </c>
      <c r="H91" s="415"/>
      <c r="I91" s="430">
        <f>SUM(I86:I90)</f>
        <v>193332405.00666648</v>
      </c>
      <c r="J91" s="430"/>
      <c r="K91" s="423">
        <f>SUM(K86:K90)</f>
        <v>0</v>
      </c>
      <c r="L91" s="423"/>
      <c r="M91" s="423">
        <f>SUM(M86:M90)</f>
        <v>386498280</v>
      </c>
      <c r="N91" s="423"/>
      <c r="O91" s="423"/>
      <c r="P91" s="423"/>
      <c r="Q91" s="164" t="s">
        <v>7</v>
      </c>
      <c r="R91" s="165"/>
      <c r="S91" s="213"/>
    </row>
    <row r="92" spans="2:20" ht="27.75" hidden="1" customHeight="1">
      <c r="D92" s="186"/>
      <c r="F92" s="186"/>
      <c r="G92" s="187"/>
      <c r="H92" s="188"/>
      <c r="I92" s="189"/>
      <c r="J92" s="189"/>
      <c r="K92" s="188"/>
      <c r="L92" s="188"/>
      <c r="M92" s="201" t="s">
        <v>183</v>
      </c>
      <c r="N92" s="188"/>
      <c r="O92" s="190"/>
      <c r="P92" s="188"/>
      <c r="Q92" s="188" t="s">
        <v>8</v>
      </c>
      <c r="R92" s="188"/>
      <c r="S92" s="215"/>
    </row>
    <row r="93" spans="2:20" ht="28.5" hidden="1" customHeight="1">
      <c r="D93" s="5">
        <v>650</v>
      </c>
      <c r="F93" s="5"/>
      <c r="G93" s="191">
        <f>H93*O93</f>
        <v>11505000</v>
      </c>
      <c r="H93" s="1">
        <v>650</v>
      </c>
      <c r="I93" s="40">
        <f>J93*O93</f>
        <v>11505000</v>
      </c>
      <c r="J93" s="49">
        <f>H93-N93</f>
        <v>650</v>
      </c>
      <c r="K93" s="6"/>
      <c r="L93" s="4"/>
      <c r="M93" s="191"/>
      <c r="N93" s="4"/>
      <c r="O93" s="22">
        <v>17700</v>
      </c>
      <c r="P93" s="6" t="s">
        <v>48</v>
      </c>
      <c r="Q93" s="45" t="s">
        <v>250</v>
      </c>
      <c r="R93" s="6" t="s">
        <v>158</v>
      </c>
      <c r="S93" s="34" t="s">
        <v>249</v>
      </c>
    </row>
    <row r="94" spans="2:20" ht="28.5" hidden="1" customHeight="1">
      <c r="D94" s="5"/>
      <c r="F94" s="5"/>
      <c r="G94" s="191">
        <f>H94*O94</f>
        <v>0</v>
      </c>
      <c r="H94" s="1"/>
      <c r="I94" s="40">
        <f>J94*O94</f>
        <v>0</v>
      </c>
      <c r="J94" s="49">
        <f>H94-N94</f>
        <v>0</v>
      </c>
      <c r="K94" s="6"/>
      <c r="L94" s="4"/>
      <c r="M94" s="191"/>
      <c r="N94" s="4"/>
      <c r="O94" s="22">
        <v>12500</v>
      </c>
      <c r="P94" s="6" t="s">
        <v>48</v>
      </c>
      <c r="Q94" s="45" t="s">
        <v>119</v>
      </c>
      <c r="R94" s="6" t="s">
        <v>158</v>
      </c>
      <c r="S94" s="207">
        <v>110301</v>
      </c>
      <c r="T94" s="27"/>
    </row>
    <row r="95" spans="2:20" ht="28.5" hidden="1" customHeight="1" thickBot="1">
      <c r="D95" s="185">
        <v>1220</v>
      </c>
      <c r="F95" s="185"/>
      <c r="G95" s="191">
        <f>H95*O95</f>
        <v>54900000</v>
      </c>
      <c r="H95" s="43">
        <v>1220</v>
      </c>
      <c r="I95" s="40">
        <f>J95*O95</f>
        <v>900000</v>
      </c>
      <c r="J95" s="49">
        <f>H95-N95</f>
        <v>20</v>
      </c>
      <c r="K95" s="8"/>
      <c r="L95" s="15"/>
      <c r="M95" s="197">
        <f>N95*O95</f>
        <v>54000000</v>
      </c>
      <c r="N95" s="15">
        <v>1200</v>
      </c>
      <c r="O95" s="23">
        <v>45000</v>
      </c>
      <c r="P95" s="8" t="s">
        <v>48</v>
      </c>
      <c r="Q95" s="198" t="s">
        <v>233</v>
      </c>
      <c r="R95" s="8" t="s">
        <v>159</v>
      </c>
      <c r="S95" s="209">
        <v>110304</v>
      </c>
      <c r="T95" s="27"/>
    </row>
    <row r="96" spans="2:20" ht="28.5" hidden="1" customHeight="1" thickBot="1">
      <c r="D96" s="193"/>
      <c r="F96" s="193"/>
      <c r="G96" s="404">
        <f>SUM(G93:G95)</f>
        <v>66405000</v>
      </c>
      <c r="H96" s="405"/>
      <c r="I96" s="410">
        <f>SUM(I93:I95)</f>
        <v>12405000</v>
      </c>
      <c r="J96" s="410"/>
      <c r="K96" s="431">
        <f>SUM(K93:K95)</f>
        <v>0</v>
      </c>
      <c r="L96" s="431"/>
      <c r="M96" s="431">
        <f>SUM(M93:M95)</f>
        <v>54000000</v>
      </c>
      <c r="N96" s="431"/>
      <c r="O96" s="195"/>
      <c r="P96" s="194"/>
      <c r="Q96" s="194" t="s">
        <v>10</v>
      </c>
      <c r="R96" s="196"/>
      <c r="S96" s="216"/>
    </row>
    <row r="97" spans="2:19" ht="49.5" hidden="1" customHeight="1" thickBot="1">
      <c r="G97" s="101"/>
      <c r="H97" s="17"/>
      <c r="I97" s="52"/>
      <c r="J97" s="52"/>
      <c r="K97" s="17"/>
      <c r="L97" s="17"/>
      <c r="M97" s="101"/>
      <c r="N97" s="17"/>
      <c r="O97" s="24"/>
      <c r="P97" s="17"/>
      <c r="Q97" s="18"/>
      <c r="R97" s="18"/>
      <c r="S97" s="210"/>
    </row>
    <row r="98" spans="2:19" ht="25.5" hidden="1" customHeight="1">
      <c r="D98" s="77"/>
      <c r="F98" s="173"/>
      <c r="G98" s="382" t="s">
        <v>300</v>
      </c>
      <c r="H98" s="382"/>
      <c r="I98" s="382" t="s">
        <v>145</v>
      </c>
      <c r="J98" s="382"/>
      <c r="K98" s="78"/>
      <c r="L98" s="78"/>
      <c r="M98" s="199"/>
      <c r="N98" s="78"/>
      <c r="O98" s="79"/>
      <c r="P98" s="78"/>
      <c r="Q98" s="80" t="s">
        <v>171</v>
      </c>
      <c r="R98" s="41"/>
      <c r="S98" s="219"/>
    </row>
    <row r="99" spans="2:19" ht="25.5" hidden="1" customHeight="1">
      <c r="D99" s="81"/>
      <c r="F99" s="174"/>
      <c r="G99" s="96"/>
      <c r="H99" s="82"/>
      <c r="I99" s="83"/>
      <c r="J99" s="143" t="s">
        <v>146</v>
      </c>
      <c r="K99" s="144"/>
      <c r="L99" s="144"/>
      <c r="M99" s="200"/>
      <c r="N99" s="144"/>
      <c r="O99" s="135"/>
      <c r="P99" s="144"/>
      <c r="Q99" s="84" t="s">
        <v>292</v>
      </c>
      <c r="R99" s="56"/>
      <c r="S99" s="175"/>
    </row>
    <row r="100" spans="2:19" ht="25.5" hidden="1" customHeight="1" thickBot="1">
      <c r="D100" s="85"/>
      <c r="F100" s="85"/>
      <c r="G100" s="145"/>
      <c r="H100" s="136"/>
      <c r="I100" s="146"/>
      <c r="J100" s="146"/>
      <c r="K100" s="136"/>
      <c r="L100" s="136"/>
      <c r="M100" s="202" t="s">
        <v>183</v>
      </c>
      <c r="N100" s="136"/>
      <c r="O100" s="136"/>
      <c r="P100" s="136"/>
      <c r="Q100" s="86" t="s">
        <v>206</v>
      </c>
      <c r="R100" s="42"/>
      <c r="S100" s="205"/>
    </row>
    <row r="101" spans="2:19" ht="30" hidden="1" customHeight="1">
      <c r="D101" s="385" t="s">
        <v>144</v>
      </c>
      <c r="F101" s="385" t="s">
        <v>144</v>
      </c>
      <c r="G101" s="406" t="s">
        <v>63</v>
      </c>
      <c r="H101" s="406"/>
      <c r="I101" s="409" t="s">
        <v>170</v>
      </c>
      <c r="J101" s="409"/>
      <c r="K101" s="401" t="s">
        <v>2</v>
      </c>
      <c r="L101" s="401"/>
      <c r="M101" s="401" t="s">
        <v>169</v>
      </c>
      <c r="N101" s="401"/>
      <c r="O101" s="426" t="s">
        <v>139</v>
      </c>
      <c r="P101" s="401" t="s">
        <v>1</v>
      </c>
      <c r="Q101" s="401" t="s">
        <v>138</v>
      </c>
      <c r="R101" s="62"/>
      <c r="S101" s="424" t="s">
        <v>0</v>
      </c>
    </row>
    <row r="102" spans="2:19" ht="30" hidden="1" customHeight="1">
      <c r="D102" s="386"/>
      <c r="F102" s="386"/>
      <c r="G102" s="97" t="s">
        <v>143</v>
      </c>
      <c r="H102" s="49" t="s">
        <v>142</v>
      </c>
      <c r="I102" s="49" t="s">
        <v>143</v>
      </c>
      <c r="J102" s="49" t="s">
        <v>142</v>
      </c>
      <c r="K102" s="1" t="s">
        <v>4</v>
      </c>
      <c r="L102" s="1" t="s">
        <v>3</v>
      </c>
      <c r="M102" s="100" t="s">
        <v>141</v>
      </c>
      <c r="N102" s="1" t="s">
        <v>140</v>
      </c>
      <c r="O102" s="427"/>
      <c r="P102" s="422"/>
      <c r="Q102" s="422"/>
      <c r="R102" s="2"/>
      <c r="S102" s="425"/>
    </row>
    <row r="103" spans="2:19" ht="30" hidden="1" customHeight="1">
      <c r="D103" s="55"/>
      <c r="F103" s="55"/>
      <c r="G103" s="100">
        <f>H103*O103</f>
        <v>0</v>
      </c>
      <c r="H103" s="49"/>
      <c r="I103" s="40">
        <f>J103*O103</f>
        <v>0</v>
      </c>
      <c r="J103" s="49">
        <f>H103-N103</f>
        <v>0</v>
      </c>
      <c r="K103" s="1"/>
      <c r="L103" s="1"/>
      <c r="M103" s="191">
        <f>N103*O103</f>
        <v>0</v>
      </c>
      <c r="N103" s="1"/>
      <c r="O103" s="22">
        <v>220000</v>
      </c>
      <c r="P103" s="6" t="s">
        <v>35</v>
      </c>
      <c r="Q103" s="45" t="s">
        <v>219</v>
      </c>
      <c r="R103" s="2"/>
      <c r="S103" s="34" t="s">
        <v>218</v>
      </c>
    </row>
    <row r="104" spans="2:19" ht="39" hidden="1" customHeight="1">
      <c r="D104" s="20"/>
      <c r="F104" s="20"/>
      <c r="G104" s="100">
        <f t="shared" ref="G104:G119" si="12">H104*O104</f>
        <v>0</v>
      </c>
      <c r="H104" s="1"/>
      <c r="I104" s="40">
        <f t="shared" ref="I104:I119" si="13">J104*O104</f>
        <v>0</v>
      </c>
      <c r="J104" s="49">
        <f t="shared" ref="J104:J119" si="14">H104-N104</f>
        <v>0</v>
      </c>
      <c r="K104" s="6"/>
      <c r="L104" s="6"/>
      <c r="M104" s="191">
        <f t="shared" ref="M104:M119" si="15">N104*O104</f>
        <v>0</v>
      </c>
      <c r="N104" s="6"/>
      <c r="O104" s="22">
        <v>249500</v>
      </c>
      <c r="P104" s="6" t="s">
        <v>35</v>
      </c>
      <c r="Q104" s="45" t="s">
        <v>182</v>
      </c>
      <c r="R104" s="66" t="s">
        <v>158</v>
      </c>
      <c r="S104" s="34">
        <v>120103</v>
      </c>
    </row>
    <row r="105" spans="2:19" ht="39" hidden="1" customHeight="1">
      <c r="B105" s="259">
        <v>893</v>
      </c>
      <c r="C105" s="3">
        <v>2150</v>
      </c>
      <c r="D105" s="20">
        <v>416.5</v>
      </c>
      <c r="F105" s="20"/>
      <c r="G105" s="100">
        <f t="shared" si="12"/>
        <v>970249500</v>
      </c>
      <c r="H105" s="1">
        <f>416+2150+893</f>
        <v>3459</v>
      </c>
      <c r="I105" s="40">
        <f t="shared" si="13"/>
        <v>754264500</v>
      </c>
      <c r="J105" s="49">
        <f t="shared" si="14"/>
        <v>2689</v>
      </c>
      <c r="K105" s="6"/>
      <c r="L105" s="6"/>
      <c r="M105" s="191">
        <f t="shared" si="15"/>
        <v>215985000</v>
      </c>
      <c r="N105" s="6">
        <v>770</v>
      </c>
      <c r="O105" s="22">
        <v>280500</v>
      </c>
      <c r="P105" s="6" t="s">
        <v>35</v>
      </c>
      <c r="Q105" s="46" t="s">
        <v>120</v>
      </c>
      <c r="R105" s="66" t="s">
        <v>158</v>
      </c>
      <c r="S105" s="34">
        <v>120104</v>
      </c>
    </row>
    <row r="106" spans="2:19" ht="39" hidden="1" customHeight="1">
      <c r="D106" s="20">
        <v>92.36</v>
      </c>
      <c r="F106" s="20"/>
      <c r="G106" s="100">
        <f t="shared" si="12"/>
        <v>31096000</v>
      </c>
      <c r="H106" s="1">
        <v>92</v>
      </c>
      <c r="I106" s="40">
        <f t="shared" si="13"/>
        <v>0</v>
      </c>
      <c r="J106" s="49">
        <f t="shared" si="14"/>
        <v>0</v>
      </c>
      <c r="K106" s="6"/>
      <c r="L106" s="6"/>
      <c r="M106" s="191">
        <f t="shared" si="15"/>
        <v>31096000</v>
      </c>
      <c r="N106" s="4">
        <v>92</v>
      </c>
      <c r="O106" s="22">
        <v>338000</v>
      </c>
      <c r="P106" s="6" t="s">
        <v>35</v>
      </c>
      <c r="Q106" s="46" t="s">
        <v>51</v>
      </c>
      <c r="R106" s="66" t="s">
        <v>158</v>
      </c>
      <c r="S106" s="207" t="s">
        <v>49</v>
      </c>
    </row>
    <row r="107" spans="2:19" ht="39" hidden="1" customHeight="1">
      <c r="D107" s="20">
        <v>708.39</v>
      </c>
      <c r="F107" s="20"/>
      <c r="G107" s="100">
        <f t="shared" si="12"/>
        <v>258774000</v>
      </c>
      <c r="H107" s="1">
        <v>708</v>
      </c>
      <c r="I107" s="40">
        <f t="shared" si="13"/>
        <v>-17909500</v>
      </c>
      <c r="J107" s="49">
        <f t="shared" si="14"/>
        <v>-49</v>
      </c>
      <c r="K107" s="6"/>
      <c r="L107" s="6"/>
      <c r="M107" s="191">
        <f t="shared" si="15"/>
        <v>276683500</v>
      </c>
      <c r="N107" s="4">
        <v>757</v>
      </c>
      <c r="O107" s="22">
        <v>365500</v>
      </c>
      <c r="P107" s="6" t="s">
        <v>35</v>
      </c>
      <c r="Q107" s="46" t="s">
        <v>160</v>
      </c>
      <c r="R107" s="66" t="s">
        <v>158</v>
      </c>
      <c r="S107" s="207">
        <v>120107</v>
      </c>
    </row>
    <row r="108" spans="2:19" ht="39" hidden="1" customHeight="1">
      <c r="D108" s="20"/>
      <c r="F108" s="20"/>
      <c r="G108" s="100">
        <f t="shared" si="12"/>
        <v>0</v>
      </c>
      <c r="H108" s="1"/>
      <c r="I108" s="40">
        <f t="shared" si="13"/>
        <v>0</v>
      </c>
      <c r="J108" s="49">
        <f t="shared" si="14"/>
        <v>0</v>
      </c>
      <c r="K108" s="6"/>
      <c r="L108" s="6"/>
      <c r="M108" s="191">
        <f t="shared" si="15"/>
        <v>0</v>
      </c>
      <c r="N108" s="4"/>
      <c r="O108" s="22">
        <v>25400</v>
      </c>
      <c r="P108" s="6" t="s">
        <v>35</v>
      </c>
      <c r="Q108" s="46" t="s">
        <v>161</v>
      </c>
      <c r="R108" s="66" t="s">
        <v>158</v>
      </c>
      <c r="S108" s="207">
        <v>120110</v>
      </c>
    </row>
    <row r="109" spans="2:19" ht="39" hidden="1" customHeight="1">
      <c r="C109" s="3">
        <v>1800</v>
      </c>
      <c r="D109" s="20">
        <v>118.37</v>
      </c>
      <c r="F109" s="20"/>
      <c r="G109" s="100">
        <f t="shared" si="12"/>
        <v>37796000</v>
      </c>
      <c r="H109" s="1">
        <f>118+1600</f>
        <v>1718</v>
      </c>
      <c r="I109" s="40">
        <f t="shared" si="13"/>
        <v>18832000</v>
      </c>
      <c r="J109" s="49">
        <f t="shared" si="14"/>
        <v>856</v>
      </c>
      <c r="K109" s="6"/>
      <c r="L109" s="6"/>
      <c r="M109" s="191">
        <f t="shared" si="15"/>
        <v>18964000</v>
      </c>
      <c r="N109" s="4">
        <v>862</v>
      </c>
      <c r="O109" s="22">
        <v>22000</v>
      </c>
      <c r="P109" s="6" t="s">
        <v>35</v>
      </c>
      <c r="Q109" s="46" t="s">
        <v>121</v>
      </c>
      <c r="R109" s="66" t="s">
        <v>158</v>
      </c>
      <c r="S109" s="207">
        <v>120302</v>
      </c>
    </row>
    <row r="110" spans="2:19" ht="39" hidden="1" customHeight="1">
      <c r="C110" s="3">
        <f>2300-1800</f>
        <v>500</v>
      </c>
      <c r="D110" s="20">
        <v>709.89</v>
      </c>
      <c r="F110" s="20"/>
      <c r="G110" s="100">
        <f t="shared" si="12"/>
        <v>45469000</v>
      </c>
      <c r="H110" s="1">
        <f>709+400</f>
        <v>1109</v>
      </c>
      <c r="I110" s="40">
        <f t="shared" si="13"/>
        <v>14432000</v>
      </c>
      <c r="J110" s="49">
        <f t="shared" si="14"/>
        <v>352</v>
      </c>
      <c r="K110" s="6"/>
      <c r="L110" s="6"/>
      <c r="M110" s="191">
        <f t="shared" si="15"/>
        <v>31037000</v>
      </c>
      <c r="N110" s="4">
        <v>757</v>
      </c>
      <c r="O110" s="22">
        <v>41000</v>
      </c>
      <c r="P110" s="6" t="s">
        <v>35</v>
      </c>
      <c r="Q110" s="46" t="s">
        <v>122</v>
      </c>
      <c r="R110" s="66" t="s">
        <v>158</v>
      </c>
      <c r="S110" s="207">
        <v>120303</v>
      </c>
    </row>
    <row r="111" spans="2:19" ht="39" hidden="1" customHeight="1">
      <c r="D111" s="20"/>
      <c r="F111" s="20"/>
      <c r="G111" s="100">
        <f t="shared" si="12"/>
        <v>0</v>
      </c>
      <c r="H111" s="1"/>
      <c r="I111" s="40">
        <f t="shared" si="13"/>
        <v>0</v>
      </c>
      <c r="J111" s="49">
        <f t="shared" si="14"/>
        <v>0</v>
      </c>
      <c r="K111" s="6"/>
      <c r="L111" s="6"/>
      <c r="M111" s="191">
        <f t="shared" si="15"/>
        <v>0</v>
      </c>
      <c r="N111" s="4"/>
      <c r="O111" s="108">
        <v>29300</v>
      </c>
      <c r="P111" s="6" t="s">
        <v>35</v>
      </c>
      <c r="Q111" s="46" t="s">
        <v>123</v>
      </c>
      <c r="R111" s="66" t="s">
        <v>158</v>
      </c>
      <c r="S111" s="207">
        <v>120305</v>
      </c>
    </row>
    <row r="112" spans="2:19" ht="39" hidden="1" customHeight="1">
      <c r="D112" s="20"/>
      <c r="F112" s="20"/>
      <c r="G112" s="100">
        <f t="shared" si="12"/>
        <v>0</v>
      </c>
      <c r="H112" s="1"/>
      <c r="I112" s="40">
        <f t="shared" si="13"/>
        <v>0</v>
      </c>
      <c r="J112" s="49">
        <f t="shared" si="14"/>
        <v>0</v>
      </c>
      <c r="K112" s="6"/>
      <c r="L112" s="6"/>
      <c r="M112" s="191">
        <f t="shared" si="15"/>
        <v>0</v>
      </c>
      <c r="N112" s="4"/>
      <c r="O112" s="22">
        <v>26400</v>
      </c>
      <c r="P112" s="6" t="s">
        <v>35</v>
      </c>
      <c r="Q112" s="46" t="s">
        <v>124</v>
      </c>
      <c r="R112" s="66" t="s">
        <v>158</v>
      </c>
      <c r="S112" s="207">
        <v>120307</v>
      </c>
    </row>
    <row r="113" spans="2:19" ht="39" hidden="1" customHeight="1">
      <c r="D113" s="20">
        <v>800.75</v>
      </c>
      <c r="F113" s="20"/>
      <c r="G113" s="100">
        <f t="shared" si="12"/>
        <v>4416000</v>
      </c>
      <c r="H113" s="203">
        <v>800</v>
      </c>
      <c r="I113" s="40">
        <f t="shared" si="13"/>
        <v>-270480</v>
      </c>
      <c r="J113" s="49">
        <f t="shared" si="14"/>
        <v>-49</v>
      </c>
      <c r="K113" s="6"/>
      <c r="L113" s="6"/>
      <c r="M113" s="191">
        <f t="shared" si="15"/>
        <v>4686480</v>
      </c>
      <c r="N113" s="4">
        <v>849</v>
      </c>
      <c r="O113" s="22">
        <v>5520</v>
      </c>
      <c r="P113" s="6" t="s">
        <v>35</v>
      </c>
      <c r="Q113" s="46" t="s">
        <v>52</v>
      </c>
      <c r="R113" s="66" t="s">
        <v>158</v>
      </c>
      <c r="S113" s="207" t="s">
        <v>50</v>
      </c>
    </row>
    <row r="114" spans="2:19" ht="39" hidden="1" customHeight="1">
      <c r="B114" s="259" t="s">
        <v>270</v>
      </c>
      <c r="C114" s="3" t="s">
        <v>296</v>
      </c>
      <c r="D114" s="110"/>
      <c r="F114" s="110"/>
      <c r="G114" s="100">
        <f t="shared" si="12"/>
        <v>12172000</v>
      </c>
      <c r="H114" s="1">
        <f>2150*250+223250</f>
        <v>760750</v>
      </c>
      <c r="I114" s="40">
        <f t="shared" si="13"/>
        <v>12172000</v>
      </c>
      <c r="J114" s="49">
        <f t="shared" si="14"/>
        <v>760750</v>
      </c>
      <c r="K114" s="6"/>
      <c r="L114" s="6"/>
      <c r="M114" s="191">
        <f t="shared" si="15"/>
        <v>0</v>
      </c>
      <c r="N114" s="4"/>
      <c r="O114" s="22">
        <v>16</v>
      </c>
      <c r="P114" s="6" t="s">
        <v>48</v>
      </c>
      <c r="Q114" s="46" t="s">
        <v>162</v>
      </c>
      <c r="R114" s="66" t="s">
        <v>158</v>
      </c>
      <c r="S114" s="207">
        <v>120701</v>
      </c>
    </row>
    <row r="115" spans="2:19" ht="39" hidden="1" customHeight="1">
      <c r="D115" s="110">
        <v>413319.5</v>
      </c>
      <c r="F115" s="110"/>
      <c r="G115" s="100">
        <f t="shared" si="12"/>
        <v>13226208</v>
      </c>
      <c r="H115" s="1">
        <v>413319</v>
      </c>
      <c r="I115" s="40">
        <f t="shared" si="13"/>
        <v>-3653792</v>
      </c>
      <c r="J115" s="49">
        <f t="shared" si="14"/>
        <v>-114181</v>
      </c>
      <c r="K115" s="6"/>
      <c r="L115" s="6"/>
      <c r="M115" s="191">
        <f t="shared" si="15"/>
        <v>16880000</v>
      </c>
      <c r="N115" s="4">
        <v>527500</v>
      </c>
      <c r="O115" s="22">
        <v>32</v>
      </c>
      <c r="P115" s="6" t="s">
        <v>48</v>
      </c>
      <c r="Q115" s="45" t="s">
        <v>235</v>
      </c>
      <c r="R115" s="66" t="s">
        <v>158</v>
      </c>
      <c r="S115" s="34" t="s">
        <v>234</v>
      </c>
    </row>
    <row r="116" spans="2:19" ht="39" hidden="1" customHeight="1">
      <c r="D116" s="110">
        <v>11000</v>
      </c>
      <c r="F116" s="110"/>
      <c r="G116" s="100">
        <f t="shared" si="12"/>
        <v>6545000</v>
      </c>
      <c r="H116" s="1">
        <v>11000</v>
      </c>
      <c r="I116" s="40">
        <f t="shared" si="13"/>
        <v>6545000</v>
      </c>
      <c r="J116" s="49">
        <f t="shared" si="14"/>
        <v>11000</v>
      </c>
      <c r="K116" s="6"/>
      <c r="L116" s="6"/>
      <c r="M116" s="191">
        <f t="shared" si="15"/>
        <v>0</v>
      </c>
      <c r="N116" s="4"/>
      <c r="O116" s="169">
        <v>595</v>
      </c>
      <c r="P116" s="166" t="s">
        <v>204</v>
      </c>
      <c r="Q116" s="167" t="s">
        <v>205</v>
      </c>
      <c r="R116" s="66" t="s">
        <v>158</v>
      </c>
      <c r="S116" s="207">
        <v>120703</v>
      </c>
    </row>
    <row r="117" spans="2:19" ht="39" hidden="1" customHeight="1">
      <c r="B117" s="259" t="s">
        <v>271</v>
      </c>
      <c r="C117" s="3" t="s">
        <v>297</v>
      </c>
      <c r="D117" s="57">
        <v>17156.169999999998</v>
      </c>
      <c r="F117" s="57"/>
      <c r="G117" s="100">
        <f t="shared" si="12"/>
        <v>100991020</v>
      </c>
      <c r="H117" s="58">
        <f>17156+2150*14+893*14</f>
        <v>59758</v>
      </c>
      <c r="I117" s="40">
        <f t="shared" si="13"/>
        <v>62413390</v>
      </c>
      <c r="J117" s="49">
        <f t="shared" si="14"/>
        <v>36931</v>
      </c>
      <c r="K117" s="7"/>
      <c r="L117" s="59"/>
      <c r="M117" s="191">
        <f t="shared" si="15"/>
        <v>38577630</v>
      </c>
      <c r="N117" s="168">
        <v>22827</v>
      </c>
      <c r="O117" s="60">
        <v>1690</v>
      </c>
      <c r="P117" s="4" t="s">
        <v>44</v>
      </c>
      <c r="Q117" s="74" t="s">
        <v>163</v>
      </c>
      <c r="R117" s="66" t="s">
        <v>158</v>
      </c>
      <c r="S117" s="213">
        <v>120801</v>
      </c>
    </row>
    <row r="118" spans="2:19" ht="39" hidden="1" customHeight="1">
      <c r="B118" s="259" t="s">
        <v>272</v>
      </c>
      <c r="C118" s="3" t="s">
        <v>298</v>
      </c>
      <c r="D118" s="57">
        <v>19358.900000000001</v>
      </c>
      <c r="F118" s="57"/>
      <c r="G118" s="100">
        <f t="shared" si="12"/>
        <v>53861780</v>
      </c>
      <c r="H118" s="58">
        <f>19358+2150*1.3*9+10448</f>
        <v>54961</v>
      </c>
      <c r="I118" s="40">
        <f t="shared" si="13"/>
        <v>32781980</v>
      </c>
      <c r="J118" s="49">
        <f t="shared" si="14"/>
        <v>33451</v>
      </c>
      <c r="K118" s="7"/>
      <c r="L118" s="59"/>
      <c r="M118" s="191">
        <f t="shared" si="15"/>
        <v>21079800</v>
      </c>
      <c r="N118" s="73">
        <v>21510</v>
      </c>
      <c r="O118" s="60">
        <v>980</v>
      </c>
      <c r="P118" s="4" t="s">
        <v>44</v>
      </c>
      <c r="Q118" s="74" t="s">
        <v>164</v>
      </c>
      <c r="R118" s="66" t="s">
        <v>158</v>
      </c>
      <c r="S118" s="213">
        <v>121001</v>
      </c>
    </row>
    <row r="119" spans="2:19" ht="39" hidden="1" customHeight="1">
      <c r="B119" s="259" t="s">
        <v>273</v>
      </c>
      <c r="C119" s="266" t="s">
        <v>299</v>
      </c>
      <c r="D119" s="57">
        <v>64529.75</v>
      </c>
      <c r="F119" s="57"/>
      <c r="G119" s="100">
        <f t="shared" si="12"/>
        <v>155725100</v>
      </c>
      <c r="H119" s="58">
        <f>34827+2150*1.3*30+64529</f>
        <v>183206</v>
      </c>
      <c r="I119" s="40">
        <f t="shared" si="13"/>
        <v>94780100</v>
      </c>
      <c r="J119" s="49">
        <f t="shared" si="14"/>
        <v>111506</v>
      </c>
      <c r="K119" s="7"/>
      <c r="L119" s="59"/>
      <c r="M119" s="191">
        <f t="shared" si="15"/>
        <v>60945000</v>
      </c>
      <c r="N119" s="73">
        <v>71700</v>
      </c>
      <c r="O119" s="60">
        <v>850</v>
      </c>
      <c r="P119" s="4" t="s">
        <v>44</v>
      </c>
      <c r="Q119" s="74" t="s">
        <v>165</v>
      </c>
      <c r="R119" s="66" t="s">
        <v>158</v>
      </c>
      <c r="S119" s="213">
        <v>121002</v>
      </c>
    </row>
    <row r="120" spans="2:19" ht="39" hidden="1" customHeight="1" thickBot="1">
      <c r="D120" s="21"/>
      <c r="F120" s="21"/>
      <c r="G120" s="397">
        <f>SUM(G103:G119)</f>
        <v>1690321608</v>
      </c>
      <c r="H120" s="398"/>
      <c r="I120" s="402">
        <f>SUM(I103:I119)</f>
        <v>974387198</v>
      </c>
      <c r="J120" s="402"/>
      <c r="K120" s="400">
        <f>SUM(K104:K116)</f>
        <v>0</v>
      </c>
      <c r="L120" s="400"/>
      <c r="M120" s="400">
        <f>SUM(M103:M119)</f>
        <v>715934410</v>
      </c>
      <c r="N120" s="400"/>
      <c r="O120" s="39"/>
      <c r="P120" s="115"/>
      <c r="Q120" s="115" t="s">
        <v>11</v>
      </c>
      <c r="R120" s="67"/>
      <c r="S120" s="209"/>
    </row>
    <row r="121" spans="2:19" ht="49.5" hidden="1" customHeight="1" thickBot="1">
      <c r="D121" s="13"/>
      <c r="F121" s="13"/>
      <c r="G121" s="99"/>
      <c r="H121" s="37"/>
      <c r="I121" s="50"/>
      <c r="J121" s="50"/>
      <c r="K121" s="44"/>
      <c r="L121" s="44"/>
      <c r="M121" s="99"/>
      <c r="N121" s="37"/>
      <c r="O121" s="24"/>
      <c r="P121" s="17"/>
      <c r="Q121" s="17"/>
      <c r="R121" s="17"/>
      <c r="S121" s="210"/>
    </row>
    <row r="122" spans="2:19" ht="25.5" hidden="1" customHeight="1">
      <c r="D122" s="77"/>
      <c r="F122" s="173"/>
      <c r="G122" s="382" t="s">
        <v>300</v>
      </c>
      <c r="H122" s="382"/>
      <c r="I122" s="382" t="s">
        <v>145</v>
      </c>
      <c r="J122" s="382"/>
      <c r="K122" s="78"/>
      <c r="L122" s="78"/>
      <c r="M122" s="199"/>
      <c r="N122" s="78"/>
      <c r="O122" s="79"/>
      <c r="P122" s="78"/>
      <c r="Q122" s="80" t="s">
        <v>171</v>
      </c>
      <c r="R122" s="41"/>
      <c r="S122" s="219"/>
    </row>
    <row r="123" spans="2:19" ht="25.5" hidden="1" customHeight="1">
      <c r="D123" s="81"/>
      <c r="F123" s="174"/>
      <c r="G123" s="96"/>
      <c r="H123" s="82"/>
      <c r="I123" s="83"/>
      <c r="J123" s="143" t="s">
        <v>146</v>
      </c>
      <c r="K123" s="144"/>
      <c r="L123" s="144"/>
      <c r="M123" s="200"/>
      <c r="N123" s="144"/>
      <c r="O123" s="135"/>
      <c r="P123" s="144"/>
      <c r="Q123" s="84" t="s">
        <v>292</v>
      </c>
      <c r="R123" s="56"/>
      <c r="S123" s="175"/>
    </row>
    <row r="124" spans="2:19" ht="25.5" hidden="1" customHeight="1" thickBot="1">
      <c r="D124" s="85"/>
      <c r="F124" s="85"/>
      <c r="G124" s="145"/>
      <c r="H124" s="136"/>
      <c r="I124" s="146"/>
      <c r="J124" s="146"/>
      <c r="K124" s="136"/>
      <c r="L124" s="136"/>
      <c r="M124" s="202" t="s">
        <v>183</v>
      </c>
      <c r="N124" s="136"/>
      <c r="O124" s="136"/>
      <c r="P124" s="136"/>
      <c r="Q124" s="86" t="s">
        <v>207</v>
      </c>
      <c r="R124" s="42"/>
      <c r="S124" s="205"/>
    </row>
    <row r="125" spans="2:19" ht="30" hidden="1" customHeight="1">
      <c r="D125" s="385" t="s">
        <v>144</v>
      </c>
      <c r="F125" s="385" t="s">
        <v>144</v>
      </c>
      <c r="G125" s="406" t="s">
        <v>63</v>
      </c>
      <c r="H125" s="406"/>
      <c r="I125" s="409" t="s">
        <v>170</v>
      </c>
      <c r="J125" s="409"/>
      <c r="K125" s="401" t="s">
        <v>2</v>
      </c>
      <c r="L125" s="401"/>
      <c r="M125" s="401" t="s">
        <v>169</v>
      </c>
      <c r="N125" s="401"/>
      <c r="O125" s="426" t="s">
        <v>139</v>
      </c>
      <c r="P125" s="401" t="s">
        <v>1</v>
      </c>
      <c r="Q125" s="401" t="s">
        <v>138</v>
      </c>
      <c r="R125" s="62"/>
      <c r="S125" s="424" t="s">
        <v>0</v>
      </c>
    </row>
    <row r="126" spans="2:19" ht="30" hidden="1" customHeight="1">
      <c r="D126" s="386"/>
      <c r="F126" s="386"/>
      <c r="G126" s="97" t="s">
        <v>143</v>
      </c>
      <c r="H126" s="49" t="s">
        <v>142</v>
      </c>
      <c r="I126" s="49" t="s">
        <v>143</v>
      </c>
      <c r="J126" s="49" t="s">
        <v>142</v>
      </c>
      <c r="K126" s="1" t="s">
        <v>4</v>
      </c>
      <c r="L126" s="1" t="s">
        <v>3</v>
      </c>
      <c r="M126" s="100" t="s">
        <v>141</v>
      </c>
      <c r="N126" s="1" t="s">
        <v>140</v>
      </c>
      <c r="O126" s="427"/>
      <c r="P126" s="422"/>
      <c r="Q126" s="422"/>
      <c r="R126" s="2"/>
      <c r="S126" s="425"/>
    </row>
    <row r="127" spans="2:19" ht="35.25" hidden="1" customHeight="1">
      <c r="D127" s="5"/>
      <c r="F127" s="5"/>
      <c r="G127" s="100"/>
      <c r="H127" s="1"/>
      <c r="I127" s="40">
        <f>J127*O127</f>
        <v>-103292000</v>
      </c>
      <c r="J127" s="49">
        <f>H127-N127</f>
        <v>-136</v>
      </c>
      <c r="K127" s="6"/>
      <c r="L127" s="6"/>
      <c r="M127" s="191">
        <f>N127*O127</f>
        <v>103292000</v>
      </c>
      <c r="N127" s="4">
        <v>136</v>
      </c>
      <c r="O127" s="22">
        <v>759500</v>
      </c>
      <c r="P127" s="6" t="s">
        <v>35</v>
      </c>
      <c r="Q127" s="46" t="s">
        <v>110</v>
      </c>
      <c r="R127" s="46" t="s">
        <v>158</v>
      </c>
      <c r="S127" s="207">
        <v>130804</v>
      </c>
    </row>
    <row r="128" spans="2:19" ht="35.25" hidden="1" customHeight="1">
      <c r="D128" s="5"/>
      <c r="F128" s="5"/>
      <c r="G128" s="100"/>
      <c r="H128" s="1"/>
      <c r="I128" s="40">
        <f>J128*O128</f>
        <v>-217550000</v>
      </c>
      <c r="J128" s="49">
        <f>H128-N128</f>
        <v>-380</v>
      </c>
      <c r="K128" s="6"/>
      <c r="L128" s="6"/>
      <c r="M128" s="191">
        <f>N128*O128</f>
        <v>217550000</v>
      </c>
      <c r="N128" s="4">
        <v>380</v>
      </c>
      <c r="O128" s="22">
        <v>572500</v>
      </c>
      <c r="P128" s="6" t="s">
        <v>35</v>
      </c>
      <c r="Q128" s="45" t="s">
        <v>237</v>
      </c>
      <c r="R128" s="46" t="s">
        <v>158</v>
      </c>
      <c r="S128" s="34" t="s">
        <v>236</v>
      </c>
    </row>
    <row r="129" spans="2:19" ht="35.25" hidden="1" customHeight="1">
      <c r="D129" s="5"/>
      <c r="F129" s="5"/>
      <c r="G129" s="100">
        <f>H129*O129</f>
        <v>7986000</v>
      </c>
      <c r="H129" s="1">
        <v>44</v>
      </c>
      <c r="I129" s="40">
        <f>J129*O129</f>
        <v>7986000</v>
      </c>
      <c r="J129" s="49">
        <f>H129-N129</f>
        <v>44</v>
      </c>
      <c r="K129" s="6"/>
      <c r="L129" s="6"/>
      <c r="M129" s="191">
        <f>N129*O129</f>
        <v>0</v>
      </c>
      <c r="N129" s="4"/>
      <c r="O129" s="22">
        <v>181500</v>
      </c>
      <c r="P129" s="6" t="s">
        <v>155</v>
      </c>
      <c r="Q129" s="46" t="s">
        <v>208</v>
      </c>
      <c r="R129" s="46" t="s">
        <v>158</v>
      </c>
      <c r="S129" s="207">
        <v>131109</v>
      </c>
    </row>
    <row r="130" spans="2:19" ht="27" hidden="1" customHeight="1" thickBot="1">
      <c r="D130" s="21"/>
      <c r="F130" s="21"/>
      <c r="G130" s="397">
        <f>SUM(G127:G129)</f>
        <v>7986000</v>
      </c>
      <c r="H130" s="398"/>
      <c r="I130" s="402">
        <f>SUM(I127:I129)</f>
        <v>-312856000</v>
      </c>
      <c r="J130" s="402"/>
      <c r="K130" s="400">
        <f>SUM(K127:K127)</f>
        <v>0</v>
      </c>
      <c r="L130" s="400"/>
      <c r="M130" s="400">
        <f>SUM(M127:M129)</f>
        <v>320842000</v>
      </c>
      <c r="N130" s="400"/>
      <c r="O130" s="39"/>
      <c r="P130" s="115"/>
      <c r="Q130" s="115" t="s">
        <v>111</v>
      </c>
      <c r="R130" s="15"/>
      <c r="S130" s="209"/>
    </row>
    <row r="131" spans="2:19" ht="25.5" hidden="1" customHeight="1" thickBot="1">
      <c r="D131" s="85"/>
      <c r="F131" s="85"/>
      <c r="G131" s="145"/>
      <c r="H131" s="136"/>
      <c r="I131" s="146"/>
      <c r="J131" s="146"/>
      <c r="K131" s="136"/>
      <c r="L131" s="136"/>
      <c r="M131" s="202" t="s">
        <v>183</v>
      </c>
      <c r="N131" s="136"/>
      <c r="O131" s="136"/>
      <c r="P131" s="136"/>
      <c r="Q131" s="86" t="s">
        <v>209</v>
      </c>
      <c r="R131" s="42"/>
      <c r="S131" s="205"/>
    </row>
    <row r="132" spans="2:19" ht="43.5" hidden="1" customHeight="1">
      <c r="D132" s="20">
        <v>7280</v>
      </c>
      <c r="F132" s="20"/>
      <c r="G132" s="100">
        <f t="shared" ref="G132:G142" si="16">H132*O132</f>
        <v>531440000</v>
      </c>
      <c r="H132" s="1">
        <v>7280</v>
      </c>
      <c r="I132" s="40">
        <f>J132*O132</f>
        <v>-577941000</v>
      </c>
      <c r="J132" s="49">
        <f>H132-N132</f>
        <v>-7917</v>
      </c>
      <c r="K132" s="6"/>
      <c r="L132" s="6"/>
      <c r="M132" s="113">
        <f t="shared" ref="M132:M142" si="17">N132*O132</f>
        <v>1109381000</v>
      </c>
      <c r="N132" s="4">
        <v>15197</v>
      </c>
      <c r="O132" s="22">
        <v>73000</v>
      </c>
      <c r="P132" s="6" t="s">
        <v>35</v>
      </c>
      <c r="Q132" s="45" t="s">
        <v>239</v>
      </c>
      <c r="R132" s="65" t="s">
        <v>158</v>
      </c>
      <c r="S132" s="34" t="s">
        <v>238</v>
      </c>
    </row>
    <row r="133" spans="2:19" ht="43.5" hidden="1" customHeight="1">
      <c r="D133" s="20"/>
      <c r="F133" s="20"/>
      <c r="G133" s="100">
        <f t="shared" si="16"/>
        <v>0</v>
      </c>
      <c r="H133" s="1"/>
      <c r="I133" s="40">
        <f t="shared" ref="I133:I142" si="18">J133*O133</f>
        <v>0</v>
      </c>
      <c r="J133" s="49">
        <f t="shared" ref="J133:J142" si="19">H133-N133</f>
        <v>0</v>
      </c>
      <c r="K133" s="6"/>
      <c r="L133" s="6"/>
      <c r="M133" s="100">
        <f t="shared" si="17"/>
        <v>0</v>
      </c>
      <c r="N133" s="4"/>
      <c r="O133" s="22">
        <v>6170</v>
      </c>
      <c r="P133" s="6" t="s">
        <v>35</v>
      </c>
      <c r="Q133" s="45" t="s">
        <v>166</v>
      </c>
      <c r="R133" s="65" t="s">
        <v>158</v>
      </c>
      <c r="S133" s="207">
        <v>140701</v>
      </c>
    </row>
    <row r="134" spans="2:19" ht="43.5" hidden="1" customHeight="1">
      <c r="D134" s="20"/>
      <c r="F134" s="20"/>
      <c r="G134" s="100">
        <f t="shared" si="16"/>
        <v>1064000</v>
      </c>
      <c r="H134" s="1">
        <v>140</v>
      </c>
      <c r="I134" s="40">
        <f t="shared" si="18"/>
        <v>1064000</v>
      </c>
      <c r="J134" s="49">
        <f t="shared" si="19"/>
        <v>140</v>
      </c>
      <c r="K134" s="6"/>
      <c r="L134" s="6"/>
      <c r="M134" s="100">
        <f t="shared" si="17"/>
        <v>0</v>
      </c>
      <c r="N134" s="4"/>
      <c r="O134" s="22">
        <v>7600</v>
      </c>
      <c r="P134" s="6" t="s">
        <v>35</v>
      </c>
      <c r="Q134" s="45" t="s">
        <v>136</v>
      </c>
      <c r="R134" s="65" t="s">
        <v>158</v>
      </c>
      <c r="S134" s="207">
        <v>140704</v>
      </c>
    </row>
    <row r="135" spans="2:19" ht="43.5" hidden="1" customHeight="1">
      <c r="D135" s="20"/>
      <c r="F135" s="20"/>
      <c r="G135" s="100">
        <f t="shared" si="16"/>
        <v>455000</v>
      </c>
      <c r="H135" s="1">
        <v>140</v>
      </c>
      <c r="I135" s="40">
        <f t="shared" si="18"/>
        <v>455000</v>
      </c>
      <c r="J135" s="49">
        <f t="shared" si="19"/>
        <v>140</v>
      </c>
      <c r="K135" s="6"/>
      <c r="L135" s="6"/>
      <c r="M135" s="100">
        <f t="shared" si="17"/>
        <v>0</v>
      </c>
      <c r="N135" s="4"/>
      <c r="O135" s="22">
        <v>3250</v>
      </c>
      <c r="P135" s="6" t="s">
        <v>35</v>
      </c>
      <c r="Q135" s="45" t="s">
        <v>167</v>
      </c>
      <c r="R135" s="65" t="s">
        <v>158</v>
      </c>
      <c r="S135" s="207">
        <v>140801</v>
      </c>
    </row>
    <row r="136" spans="2:19" ht="43.5" hidden="1" customHeight="1">
      <c r="B136" s="259">
        <v>950</v>
      </c>
      <c r="D136" s="20"/>
      <c r="F136" s="20"/>
      <c r="G136" s="100">
        <f t="shared" si="16"/>
        <v>72485000</v>
      </c>
      <c r="H136" s="1">
        <v>950</v>
      </c>
      <c r="I136" s="40">
        <f t="shared" si="18"/>
        <v>72485000</v>
      </c>
      <c r="J136" s="49">
        <f t="shared" si="19"/>
        <v>950</v>
      </c>
      <c r="K136" s="6"/>
      <c r="L136" s="6"/>
      <c r="M136" s="100">
        <f t="shared" si="17"/>
        <v>0</v>
      </c>
      <c r="N136" s="4"/>
      <c r="O136" s="22">
        <v>76300</v>
      </c>
      <c r="P136" s="6" t="s">
        <v>35</v>
      </c>
      <c r="Q136" s="45" t="s">
        <v>275</v>
      </c>
      <c r="R136" s="65" t="s">
        <v>158</v>
      </c>
      <c r="S136" s="207" t="s">
        <v>274</v>
      </c>
    </row>
    <row r="137" spans="2:19" ht="43.5" hidden="1" customHeight="1">
      <c r="D137" s="20"/>
      <c r="F137" s="20"/>
      <c r="G137" s="100">
        <f t="shared" si="16"/>
        <v>0</v>
      </c>
      <c r="H137" s="1"/>
      <c r="I137" s="40">
        <f t="shared" si="18"/>
        <v>0</v>
      </c>
      <c r="J137" s="49">
        <f t="shared" si="19"/>
        <v>0</v>
      </c>
      <c r="K137" s="6"/>
      <c r="L137" s="6"/>
      <c r="M137" s="100">
        <f t="shared" si="17"/>
        <v>0</v>
      </c>
      <c r="N137" s="4"/>
      <c r="O137" s="22">
        <v>9670</v>
      </c>
      <c r="P137" s="6" t="s">
        <v>35</v>
      </c>
      <c r="Q137" s="45" t="s">
        <v>137</v>
      </c>
      <c r="R137" s="65" t="s">
        <v>158</v>
      </c>
      <c r="S137" s="207">
        <v>141002</v>
      </c>
    </row>
    <row r="138" spans="2:19" ht="43.5" hidden="1" customHeight="1">
      <c r="D138" s="20">
        <v>400</v>
      </c>
      <c r="F138" s="20"/>
      <c r="G138" s="100">
        <f t="shared" si="16"/>
        <v>13800000</v>
      </c>
      <c r="H138" s="1">
        <v>400</v>
      </c>
      <c r="I138" s="40">
        <f t="shared" si="18"/>
        <v>13800000</v>
      </c>
      <c r="J138" s="49">
        <f t="shared" si="19"/>
        <v>400</v>
      </c>
      <c r="K138" s="6"/>
      <c r="L138" s="6"/>
      <c r="M138" s="100">
        <f t="shared" si="17"/>
        <v>0</v>
      </c>
      <c r="N138" s="4"/>
      <c r="O138" s="22">
        <v>34500</v>
      </c>
      <c r="P138" s="6" t="s">
        <v>35</v>
      </c>
      <c r="Q138" s="45" t="s">
        <v>253</v>
      </c>
      <c r="R138" s="65" t="s">
        <v>158</v>
      </c>
      <c r="S138" s="34" t="s">
        <v>251</v>
      </c>
    </row>
    <row r="139" spans="2:19" ht="43.5" hidden="1" customHeight="1">
      <c r="D139" s="20">
        <v>600</v>
      </c>
      <c r="F139" s="20"/>
      <c r="G139" s="100">
        <f t="shared" si="16"/>
        <v>17160000</v>
      </c>
      <c r="H139" s="1">
        <v>600</v>
      </c>
      <c r="I139" s="40">
        <f t="shared" si="18"/>
        <v>17160000</v>
      </c>
      <c r="J139" s="49">
        <f t="shared" si="19"/>
        <v>600</v>
      </c>
      <c r="K139" s="6"/>
      <c r="L139" s="6"/>
      <c r="M139" s="100">
        <f t="shared" si="17"/>
        <v>0</v>
      </c>
      <c r="N139" s="4"/>
      <c r="O139" s="22">
        <v>28600</v>
      </c>
      <c r="P139" s="6" t="s">
        <v>35</v>
      </c>
      <c r="Q139" s="45" t="s">
        <v>254</v>
      </c>
      <c r="R139" s="65" t="s">
        <v>158</v>
      </c>
      <c r="S139" s="34" t="s">
        <v>252</v>
      </c>
    </row>
    <row r="140" spans="2:19" ht="32.25" hidden="1" customHeight="1">
      <c r="B140" s="259" t="s">
        <v>276</v>
      </c>
      <c r="D140" s="20">
        <v>92520</v>
      </c>
      <c r="F140" s="20"/>
      <c r="G140" s="100">
        <f t="shared" si="16"/>
        <v>99048600</v>
      </c>
      <c r="H140" s="1">
        <f>92520+9*950</f>
        <v>101070</v>
      </c>
      <c r="I140" s="40">
        <f t="shared" si="18"/>
        <v>-34988940</v>
      </c>
      <c r="J140" s="49">
        <f t="shared" si="19"/>
        <v>-35703</v>
      </c>
      <c r="K140" s="6"/>
      <c r="L140" s="6"/>
      <c r="M140" s="100">
        <f t="shared" si="17"/>
        <v>134037540</v>
      </c>
      <c r="N140" s="4">
        <v>136773</v>
      </c>
      <c r="O140" s="104">
        <v>980</v>
      </c>
      <c r="P140" s="4" t="s">
        <v>44</v>
      </c>
      <c r="Q140" s="45" t="s">
        <v>68</v>
      </c>
      <c r="R140" s="65" t="s">
        <v>158</v>
      </c>
      <c r="S140" s="207">
        <v>141901</v>
      </c>
    </row>
    <row r="141" spans="2:19" ht="32.25" hidden="1" customHeight="1">
      <c r="B141" s="259" t="s">
        <v>277</v>
      </c>
      <c r="D141" s="20">
        <v>205600</v>
      </c>
      <c r="F141" s="20"/>
      <c r="G141" s="100">
        <f t="shared" si="16"/>
        <v>201017000</v>
      </c>
      <c r="H141" s="1">
        <f>205600+20*950</f>
        <v>224600</v>
      </c>
      <c r="I141" s="40">
        <f t="shared" si="18"/>
        <v>-71009300</v>
      </c>
      <c r="J141" s="49">
        <f t="shared" si="19"/>
        <v>-79340</v>
      </c>
      <c r="K141" s="6"/>
      <c r="L141" s="6"/>
      <c r="M141" s="100">
        <f t="shared" si="17"/>
        <v>272026300</v>
      </c>
      <c r="N141" s="4">
        <v>303940</v>
      </c>
      <c r="O141" s="22">
        <v>895</v>
      </c>
      <c r="P141" s="4" t="s">
        <v>44</v>
      </c>
      <c r="Q141" s="45" t="s">
        <v>242</v>
      </c>
      <c r="R141" s="65" t="s">
        <v>158</v>
      </c>
      <c r="S141" s="207">
        <v>141902</v>
      </c>
    </row>
    <row r="142" spans="2:19" ht="32.25" hidden="1" customHeight="1">
      <c r="B142" s="259" t="s">
        <v>278</v>
      </c>
      <c r="D142" s="57">
        <v>102800</v>
      </c>
      <c r="F142" s="57"/>
      <c r="G142" s="100">
        <f t="shared" si="16"/>
        <v>80294500</v>
      </c>
      <c r="H142" s="224">
        <f>102800+10*950</f>
        <v>112300</v>
      </c>
      <c r="I142" s="40">
        <f t="shared" si="18"/>
        <v>-28364050</v>
      </c>
      <c r="J142" s="49">
        <f t="shared" si="19"/>
        <v>-39670</v>
      </c>
      <c r="K142" s="7"/>
      <c r="L142" s="7"/>
      <c r="M142" s="100">
        <f t="shared" si="17"/>
        <v>108658550</v>
      </c>
      <c r="N142" s="59">
        <v>151970</v>
      </c>
      <c r="O142" s="60">
        <v>715</v>
      </c>
      <c r="P142" s="4" t="s">
        <v>44</v>
      </c>
      <c r="Q142" s="247" t="s">
        <v>241</v>
      </c>
      <c r="R142" s="65" t="s">
        <v>158</v>
      </c>
      <c r="S142" s="248" t="s">
        <v>240</v>
      </c>
    </row>
    <row r="143" spans="2:19" ht="29.25" hidden="1" customHeight="1" thickBot="1">
      <c r="D143" s="21"/>
      <c r="F143" s="21"/>
      <c r="G143" s="397">
        <f>SUM(G132:G142)</f>
        <v>1016764100</v>
      </c>
      <c r="H143" s="398"/>
      <c r="I143" s="432">
        <f>SUM(I132:I142)</f>
        <v>-607339290</v>
      </c>
      <c r="J143" s="432"/>
      <c r="K143" s="433">
        <f>SUM(K132:K141)</f>
        <v>0</v>
      </c>
      <c r="L143" s="433"/>
      <c r="M143" s="400">
        <f>SUM(M132:M142)</f>
        <v>1624103390</v>
      </c>
      <c r="N143" s="400"/>
      <c r="O143" s="400"/>
      <c r="P143" s="400"/>
      <c r="Q143" s="170" t="s">
        <v>13</v>
      </c>
      <c r="R143" s="68"/>
      <c r="S143" s="217"/>
    </row>
    <row r="144" spans="2:19" ht="49.5" hidden="1" customHeight="1">
      <c r="D144" s="13"/>
      <c r="F144" s="13"/>
      <c r="G144" s="99"/>
      <c r="H144" s="11"/>
      <c r="I144" s="54"/>
      <c r="J144" s="54"/>
      <c r="K144" s="87"/>
      <c r="L144" s="87"/>
      <c r="M144" s="99"/>
      <c r="N144" s="37"/>
      <c r="O144" s="37"/>
      <c r="P144" s="37"/>
      <c r="Q144" s="88"/>
      <c r="R144" s="88"/>
      <c r="S144" s="218"/>
    </row>
    <row r="145" spans="2:19" ht="49.5" hidden="1" customHeight="1" thickBot="1">
      <c r="D145" s="13"/>
      <c r="F145" s="13"/>
      <c r="G145" s="99"/>
      <c r="H145" s="11"/>
      <c r="I145" s="54"/>
      <c r="J145" s="54"/>
      <c r="K145" s="87"/>
      <c r="L145" s="87"/>
      <c r="M145" s="99"/>
      <c r="N145" s="37"/>
      <c r="O145" s="37"/>
      <c r="P145" s="37"/>
      <c r="Q145" s="88"/>
      <c r="R145" s="88"/>
      <c r="S145" s="218"/>
    </row>
    <row r="146" spans="2:19" ht="25.5" hidden="1" customHeight="1">
      <c r="D146" s="77"/>
      <c r="F146" s="173"/>
      <c r="G146" s="382" t="s">
        <v>300</v>
      </c>
      <c r="H146" s="382"/>
      <c r="I146" s="382" t="s">
        <v>145</v>
      </c>
      <c r="J146" s="382"/>
      <c r="K146" s="78"/>
      <c r="L146" s="78"/>
      <c r="M146" s="199"/>
      <c r="N146" s="78"/>
      <c r="O146" s="79"/>
      <c r="P146" s="78"/>
      <c r="Q146" s="80" t="s">
        <v>171</v>
      </c>
      <c r="R146" s="41"/>
      <c r="S146" s="219"/>
    </row>
    <row r="147" spans="2:19" ht="25.5" hidden="1" customHeight="1">
      <c r="D147" s="81"/>
      <c r="F147" s="174"/>
      <c r="G147" s="96"/>
      <c r="H147" s="82"/>
      <c r="I147" s="83"/>
      <c r="J147" s="143" t="s">
        <v>146</v>
      </c>
      <c r="K147" s="144"/>
      <c r="L147" s="144"/>
      <c r="M147" s="200"/>
      <c r="N147" s="144"/>
      <c r="O147" s="135"/>
      <c r="P147" s="144"/>
      <c r="Q147" s="84" t="s">
        <v>292</v>
      </c>
      <c r="R147" s="56"/>
      <c r="S147" s="175"/>
    </row>
    <row r="148" spans="2:19" ht="25.5" hidden="1" customHeight="1" thickBot="1">
      <c r="D148" s="85"/>
      <c r="F148" s="85"/>
      <c r="G148" s="145"/>
      <c r="H148" s="136"/>
      <c r="I148" s="146"/>
      <c r="J148" s="146"/>
      <c r="K148" s="136"/>
      <c r="L148" s="136"/>
      <c r="M148" s="202" t="s">
        <v>183</v>
      </c>
      <c r="N148" s="136"/>
      <c r="O148" s="136"/>
      <c r="P148" s="136"/>
      <c r="Q148" s="86" t="s">
        <v>210</v>
      </c>
      <c r="R148" s="42"/>
      <c r="S148" s="205"/>
    </row>
    <row r="149" spans="2:19" ht="34.5" hidden="1" customHeight="1">
      <c r="C149" s="3" t="s">
        <v>291</v>
      </c>
      <c r="D149" s="20"/>
      <c r="F149" s="20"/>
      <c r="G149" s="100">
        <f>H149*O149</f>
        <v>6300000</v>
      </c>
      <c r="H149" s="1">
        <v>700</v>
      </c>
      <c r="I149" s="40">
        <f>J149*O149</f>
        <v>6300000</v>
      </c>
      <c r="J149" s="49">
        <f>H149-N149</f>
        <v>700</v>
      </c>
      <c r="K149" s="4"/>
      <c r="L149" s="4"/>
      <c r="M149" s="191"/>
      <c r="N149" s="4"/>
      <c r="O149" s="22">
        <v>9000</v>
      </c>
      <c r="P149" s="4" t="s">
        <v>36</v>
      </c>
      <c r="Q149" s="4" t="s">
        <v>98</v>
      </c>
      <c r="R149" s="64" t="s">
        <v>158</v>
      </c>
      <c r="S149" s="32" t="s">
        <v>97</v>
      </c>
    </row>
    <row r="150" spans="2:19" ht="34.5" hidden="1" customHeight="1">
      <c r="D150" s="20"/>
      <c r="F150" s="20"/>
      <c r="G150" s="100"/>
      <c r="H150" s="1"/>
      <c r="I150" s="40">
        <f>J150*O150</f>
        <v>0</v>
      </c>
      <c r="J150" s="49">
        <f>H150-N150</f>
        <v>0</v>
      </c>
      <c r="K150" s="4"/>
      <c r="L150" s="4"/>
      <c r="M150" s="191"/>
      <c r="N150" s="4"/>
      <c r="O150" s="22">
        <v>43200</v>
      </c>
      <c r="P150" s="4" t="s">
        <v>36</v>
      </c>
      <c r="Q150" s="4" t="s">
        <v>106</v>
      </c>
      <c r="R150" s="64" t="s">
        <v>158</v>
      </c>
      <c r="S150" s="32" t="s">
        <v>105</v>
      </c>
    </row>
    <row r="151" spans="2:19" s="171" customFormat="1" ht="34.5" hidden="1" customHeight="1" thickBot="1">
      <c r="B151" s="260"/>
      <c r="C151" s="263"/>
      <c r="D151" s="131"/>
      <c r="F151" s="131"/>
      <c r="G151" s="397">
        <f>SUM(G149:G150)</f>
        <v>6300000</v>
      </c>
      <c r="H151" s="398"/>
      <c r="I151" s="399">
        <f>SUM(I149:I150)</f>
        <v>6300000</v>
      </c>
      <c r="J151" s="399"/>
      <c r="K151" s="411">
        <f>SUM(K149:K150)</f>
        <v>0</v>
      </c>
      <c r="L151" s="411"/>
      <c r="M151" s="411">
        <f>SUM(M149:M150)</f>
        <v>0</v>
      </c>
      <c r="N151" s="411"/>
      <c r="O151" s="133"/>
      <c r="P151" s="132"/>
      <c r="Q151" s="134" t="s">
        <v>60</v>
      </c>
      <c r="R151" s="172"/>
      <c r="S151" s="217"/>
    </row>
    <row r="152" spans="2:19" ht="32.25" hidden="1" customHeight="1">
      <c r="D152" s="177"/>
      <c r="F152" s="177"/>
      <c r="G152" s="103"/>
      <c r="H152" s="75"/>
      <c r="I152" s="40">
        <f>J152*O152</f>
        <v>0</v>
      </c>
      <c r="J152" s="49">
        <f>H152-N152</f>
        <v>0</v>
      </c>
      <c r="K152" s="75"/>
      <c r="L152" s="75"/>
      <c r="M152" s="191"/>
      <c r="N152" s="75"/>
      <c r="O152" s="90">
        <v>40700</v>
      </c>
      <c r="P152" s="4" t="s">
        <v>125</v>
      </c>
      <c r="Q152" s="71" t="s">
        <v>168</v>
      </c>
      <c r="R152" s="72" t="s">
        <v>158</v>
      </c>
      <c r="S152" s="214">
        <v>190103</v>
      </c>
    </row>
    <row r="153" spans="2:19" ht="32.25" hidden="1" customHeight="1">
      <c r="D153" s="177">
        <v>4369.33</v>
      </c>
      <c r="F153" s="177"/>
      <c r="G153" s="103">
        <f>H153*O153</f>
        <v>27087800</v>
      </c>
      <c r="H153" s="75">
        <v>4369</v>
      </c>
      <c r="I153" s="40">
        <f>J153*O153</f>
        <v>27087800</v>
      </c>
      <c r="J153" s="49">
        <f>H153-N153</f>
        <v>4369</v>
      </c>
      <c r="K153" s="75"/>
      <c r="L153" s="75"/>
      <c r="M153" s="191"/>
      <c r="N153" s="75"/>
      <c r="O153" s="90">
        <v>6200</v>
      </c>
      <c r="P153" s="4" t="s">
        <v>125</v>
      </c>
      <c r="Q153" s="71" t="s">
        <v>256</v>
      </c>
      <c r="R153" s="72" t="s">
        <v>158</v>
      </c>
      <c r="S153" s="212" t="s">
        <v>255</v>
      </c>
    </row>
    <row r="154" spans="2:19" ht="32.25" hidden="1" customHeight="1">
      <c r="B154" s="259">
        <v>450</v>
      </c>
      <c r="C154" s="3">
        <v>300</v>
      </c>
      <c r="D154" s="5">
        <v>348.75</v>
      </c>
      <c r="F154" s="5"/>
      <c r="G154" s="103">
        <f>H154*O154</f>
        <v>61048800</v>
      </c>
      <c r="H154" s="1">
        <f>348+300+450</f>
        <v>1098</v>
      </c>
      <c r="I154" s="40">
        <f>J154*O154</f>
        <v>61048800</v>
      </c>
      <c r="J154" s="49">
        <f>H154-N154</f>
        <v>1098</v>
      </c>
      <c r="K154" s="4"/>
      <c r="L154" s="4"/>
      <c r="M154" s="191"/>
      <c r="N154" s="4"/>
      <c r="O154" s="22">
        <v>55600</v>
      </c>
      <c r="P154" s="4" t="s">
        <v>108</v>
      </c>
      <c r="Q154" s="46" t="s">
        <v>150</v>
      </c>
      <c r="R154" s="72" t="s">
        <v>158</v>
      </c>
      <c r="S154" s="32" t="s">
        <v>149</v>
      </c>
    </row>
    <row r="155" spans="2:19" ht="32.25" hidden="1" customHeight="1">
      <c r="D155" s="57"/>
      <c r="F155" s="57"/>
      <c r="G155" s="103">
        <f>H155*O155</f>
        <v>10680000</v>
      </c>
      <c r="H155" s="1">
        <v>120</v>
      </c>
      <c r="I155" s="40">
        <f>J155*O155</f>
        <v>-7120000</v>
      </c>
      <c r="J155" s="49">
        <f>H155-N155</f>
        <v>-80</v>
      </c>
      <c r="K155" s="59"/>
      <c r="L155" s="59"/>
      <c r="M155" s="191">
        <f>N155*O155</f>
        <v>17800000</v>
      </c>
      <c r="N155" s="59">
        <v>200</v>
      </c>
      <c r="O155" s="60">
        <v>89000</v>
      </c>
      <c r="P155" s="59" t="s">
        <v>64</v>
      </c>
      <c r="Q155" s="247" t="s">
        <v>244</v>
      </c>
      <c r="R155" s="72" t="s">
        <v>159</v>
      </c>
      <c r="S155" s="76" t="s">
        <v>243</v>
      </c>
    </row>
    <row r="156" spans="2:19" s="178" customFormat="1" ht="32.25" hidden="1" customHeight="1" thickBot="1">
      <c r="B156" s="261"/>
      <c r="C156" s="264"/>
      <c r="D156" s="179"/>
      <c r="F156" s="179"/>
      <c r="G156" s="407">
        <f>SUM(G152:G155)</f>
        <v>98816600</v>
      </c>
      <c r="H156" s="408"/>
      <c r="I156" s="403">
        <f>SUM(I152:I155)</f>
        <v>81016600</v>
      </c>
      <c r="J156" s="403"/>
      <c r="K156" s="434" t="e">
        <f>SUM(#REF!)</f>
        <v>#REF!</v>
      </c>
      <c r="L156" s="434"/>
      <c r="M156" s="434">
        <f>SUM(M152:M155)</f>
        <v>17800000</v>
      </c>
      <c r="N156" s="434"/>
      <c r="O156" s="182"/>
      <c r="P156" s="181"/>
      <c r="Q156" s="183" t="s">
        <v>107</v>
      </c>
      <c r="R156" s="184"/>
      <c r="S156" s="221"/>
    </row>
    <row r="157" spans="2:19" ht="25.5" hidden="1" customHeight="1" thickBot="1">
      <c r="D157" s="85"/>
      <c r="F157" s="85"/>
      <c r="G157" s="145"/>
      <c r="H157" s="136"/>
      <c r="I157" s="146"/>
      <c r="J157" s="146"/>
      <c r="K157" s="136"/>
      <c r="L157" s="136"/>
      <c r="M157" s="202" t="s">
        <v>183</v>
      </c>
      <c r="N157" s="136"/>
      <c r="O157" s="136"/>
      <c r="P157" s="136"/>
      <c r="Q157" s="86" t="s">
        <v>211</v>
      </c>
      <c r="R157" s="42"/>
      <c r="S157" s="205"/>
    </row>
    <row r="158" spans="2:19" ht="33" hidden="1" customHeight="1">
      <c r="B158" s="265">
        <f>(C105+B105)*0.25*45</f>
        <v>34233.75</v>
      </c>
      <c r="D158" s="20">
        <v>32089.8</v>
      </c>
      <c r="F158" s="20"/>
      <c r="G158" s="100">
        <f>H158*O158</f>
        <v>24207530</v>
      </c>
      <c r="H158" s="1">
        <f>32089+34233</f>
        <v>66322</v>
      </c>
      <c r="I158" s="40">
        <f>J158*O158</f>
        <v>11620870</v>
      </c>
      <c r="J158" s="49">
        <f>H158-N158</f>
        <v>31838</v>
      </c>
      <c r="K158" s="4"/>
      <c r="L158" s="4"/>
      <c r="M158" s="191">
        <f>N158*O158</f>
        <v>12586660</v>
      </c>
      <c r="N158" s="4">
        <v>34484</v>
      </c>
      <c r="O158" s="22">
        <v>365</v>
      </c>
      <c r="P158" s="4" t="s">
        <v>59</v>
      </c>
      <c r="Q158" s="4" t="s">
        <v>56</v>
      </c>
      <c r="R158" s="64" t="s">
        <v>158</v>
      </c>
      <c r="S158" s="207" t="s">
        <v>53</v>
      </c>
    </row>
    <row r="159" spans="2:19" ht="33" hidden="1" customHeight="1">
      <c r="B159" s="265">
        <f>(C105+B105)*0.25*75</f>
        <v>57056.25</v>
      </c>
      <c r="D159" s="20">
        <v>27643.439999999999</v>
      </c>
      <c r="F159" s="20"/>
      <c r="G159" s="100">
        <f>H159*O159</f>
        <v>20751255</v>
      </c>
      <c r="H159" s="1">
        <f>27643+57056</f>
        <v>84699</v>
      </c>
      <c r="I159" s="40">
        <f>J159*O159</f>
        <v>13560995</v>
      </c>
      <c r="J159" s="49">
        <f>H159-N159</f>
        <v>55351</v>
      </c>
      <c r="K159" s="4"/>
      <c r="L159" s="4"/>
      <c r="M159" s="191">
        <f>N159*O159</f>
        <v>7190260</v>
      </c>
      <c r="N159" s="4">
        <v>29348</v>
      </c>
      <c r="O159" s="22">
        <v>245</v>
      </c>
      <c r="P159" s="4" t="s">
        <v>59</v>
      </c>
      <c r="Q159" s="4" t="s">
        <v>57</v>
      </c>
      <c r="R159" s="64" t="s">
        <v>158</v>
      </c>
      <c r="S159" s="207" t="s">
        <v>54</v>
      </c>
    </row>
    <row r="160" spans="2:19" ht="33" hidden="1" customHeight="1">
      <c r="B160" s="265">
        <f>(C105+B105)*0.25*150</f>
        <v>114112.5</v>
      </c>
      <c r="D160" s="20">
        <v>10067.700000000001</v>
      </c>
      <c r="F160" s="20"/>
      <c r="G160" s="100">
        <f>H160*O160</f>
        <v>1560385</v>
      </c>
      <c r="H160" s="1">
        <v>10067</v>
      </c>
      <c r="I160" s="40">
        <f>J160*O160</f>
        <v>91295</v>
      </c>
      <c r="J160" s="49">
        <f>H160-N160</f>
        <v>589</v>
      </c>
      <c r="K160" s="4"/>
      <c r="L160" s="4"/>
      <c r="M160" s="191">
        <f>N160*O160</f>
        <v>1469090</v>
      </c>
      <c r="N160" s="4">
        <v>9478</v>
      </c>
      <c r="O160" s="22">
        <v>155</v>
      </c>
      <c r="P160" s="4" t="s">
        <v>59</v>
      </c>
      <c r="Q160" s="4" t="s">
        <v>58</v>
      </c>
      <c r="R160" s="64" t="s">
        <v>158</v>
      </c>
      <c r="S160" s="207" t="s">
        <v>55</v>
      </c>
    </row>
    <row r="161" spans="2:28" ht="33" hidden="1" customHeight="1">
      <c r="B161" s="265"/>
      <c r="D161" s="20">
        <v>10067.700000000001</v>
      </c>
      <c r="F161" s="20"/>
      <c r="G161" s="100">
        <f>H161*O161</f>
        <v>1258375</v>
      </c>
      <c r="H161" s="1">
        <v>10067</v>
      </c>
      <c r="I161" s="40">
        <f>J161*O161</f>
        <v>73625</v>
      </c>
      <c r="J161" s="49">
        <f>H161-N161</f>
        <v>589</v>
      </c>
      <c r="K161" s="4"/>
      <c r="L161" s="4"/>
      <c r="M161" s="191">
        <f>N161*O161</f>
        <v>1184750</v>
      </c>
      <c r="N161" s="4">
        <v>9478</v>
      </c>
      <c r="O161" s="22">
        <v>125</v>
      </c>
      <c r="P161" s="4" t="s">
        <v>59</v>
      </c>
      <c r="Q161" s="4" t="s">
        <v>113</v>
      </c>
      <c r="R161" s="64" t="s">
        <v>158</v>
      </c>
      <c r="S161" s="207" t="s">
        <v>112</v>
      </c>
    </row>
    <row r="162" spans="2:28" ht="33" hidden="1" customHeight="1">
      <c r="B162" s="265"/>
      <c r="D162" s="20">
        <v>3355.9</v>
      </c>
      <c r="F162" s="20"/>
      <c r="G162" s="100">
        <f>H162*O162</f>
        <v>369050</v>
      </c>
      <c r="H162" s="1">
        <v>3355</v>
      </c>
      <c r="I162" s="40">
        <f>J162*O162</f>
        <v>21560</v>
      </c>
      <c r="J162" s="49">
        <f>H162-N162</f>
        <v>196</v>
      </c>
      <c r="K162" s="4"/>
      <c r="L162" s="4"/>
      <c r="M162" s="191">
        <f>N162*O162</f>
        <v>347490</v>
      </c>
      <c r="N162" s="4">
        <v>3159</v>
      </c>
      <c r="O162" s="22">
        <v>110</v>
      </c>
      <c r="P162" s="4" t="s">
        <v>59</v>
      </c>
      <c r="Q162" s="4" t="s">
        <v>127</v>
      </c>
      <c r="R162" s="64" t="s">
        <v>158</v>
      </c>
      <c r="S162" s="207" t="s">
        <v>126</v>
      </c>
    </row>
    <row r="163" spans="2:28" s="178" customFormat="1" ht="33" hidden="1" customHeight="1" thickBot="1">
      <c r="B163" s="261"/>
      <c r="C163" s="264"/>
      <c r="D163" s="179"/>
      <c r="F163" s="179"/>
      <c r="G163" s="407">
        <f>SUM(G158:G162)</f>
        <v>48146595</v>
      </c>
      <c r="H163" s="408"/>
      <c r="I163" s="403">
        <f>SUM(I158:I162)</f>
        <v>25368345</v>
      </c>
      <c r="J163" s="403"/>
      <c r="K163" s="434">
        <f>SUM(K158:K162)</f>
        <v>0</v>
      </c>
      <c r="L163" s="434"/>
      <c r="M163" s="434">
        <f>SUM(M158:M162)</f>
        <v>22778250</v>
      </c>
      <c r="N163" s="434"/>
      <c r="O163" s="182"/>
      <c r="P163" s="181"/>
      <c r="Q163" s="181" t="s">
        <v>14</v>
      </c>
      <c r="R163" s="180"/>
      <c r="S163" s="221"/>
    </row>
    <row r="164" spans="2:28" ht="49.5" hidden="1" customHeight="1"/>
    <row r="165" spans="2:28" ht="49.5" hidden="1" customHeight="1"/>
    <row r="166" spans="2:28" ht="49.5" hidden="1" customHeight="1"/>
    <row r="167" spans="2:28" ht="49.5" hidden="1" customHeight="1">
      <c r="T167" s="3"/>
      <c r="U167" s="3"/>
      <c r="V167" s="3"/>
      <c r="W167" s="3"/>
      <c r="X167" s="3"/>
      <c r="Y167" s="3"/>
      <c r="Z167" s="14"/>
      <c r="AA167" s="14"/>
      <c r="AB167" s="12"/>
    </row>
    <row r="168" spans="2:28" ht="49.5" hidden="1" customHeight="1">
      <c r="T168" s="3"/>
      <c r="U168" s="3"/>
      <c r="V168" s="3"/>
      <c r="W168" s="3"/>
      <c r="X168" s="3"/>
      <c r="Y168" s="3"/>
      <c r="Z168" s="14"/>
      <c r="AA168" s="14"/>
      <c r="AB168" s="12"/>
    </row>
    <row r="169" spans="2:28" ht="49.5" hidden="1" customHeight="1">
      <c r="T169" s="3"/>
      <c r="U169" s="3"/>
      <c r="V169" s="3"/>
      <c r="W169" s="3"/>
      <c r="X169" s="3"/>
      <c r="Y169" s="3"/>
      <c r="Z169" s="14"/>
      <c r="AA169" s="14"/>
      <c r="AB169" s="12"/>
    </row>
    <row r="170" spans="2:28" ht="49.5" hidden="1" customHeight="1">
      <c r="T170" s="3"/>
      <c r="U170" s="3"/>
      <c r="V170" s="3"/>
      <c r="W170" s="3"/>
      <c r="X170" s="3"/>
      <c r="Y170" s="3"/>
      <c r="Z170" s="14"/>
      <c r="AA170" s="14"/>
      <c r="AB170" s="12"/>
    </row>
    <row r="171" spans="2:28" ht="49.5" hidden="1" customHeight="1">
      <c r="D171" s="25"/>
      <c r="F171" s="25"/>
      <c r="T171" s="3"/>
      <c r="U171" s="3"/>
      <c r="V171" s="3"/>
      <c r="W171" s="3"/>
      <c r="X171" s="3"/>
      <c r="Y171" s="3"/>
      <c r="Z171" s="14"/>
      <c r="AA171" s="14"/>
      <c r="AB171" s="12"/>
    </row>
    <row r="172" spans="2:28" ht="49.5" hidden="1" customHeight="1">
      <c r="T172" s="3"/>
      <c r="U172" s="3"/>
      <c r="V172" s="3"/>
      <c r="W172" s="3"/>
      <c r="X172" s="3"/>
      <c r="Y172" s="3"/>
      <c r="Z172" s="14"/>
      <c r="AA172" s="14"/>
      <c r="AB172" s="12"/>
    </row>
    <row r="173" spans="2:28" ht="49.5" hidden="1" customHeight="1">
      <c r="D173" s="26"/>
      <c r="F173" s="26"/>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T176" s="3"/>
      <c r="U176" s="3"/>
      <c r="V176" s="3"/>
      <c r="W176" s="3"/>
      <c r="X176" s="3"/>
      <c r="Y176" s="3"/>
      <c r="Z176" s="14"/>
      <c r="AA176" s="14"/>
      <c r="AB176" s="12"/>
    </row>
    <row r="177" spans="4:28" ht="49.5" hidden="1" customHeight="1">
      <c r="D177" s="16">
        <v>1.25</v>
      </c>
      <c r="F177" s="16">
        <v>1.25</v>
      </c>
      <c r="I177" s="33" t="s">
        <v>69</v>
      </c>
      <c r="J177" s="33" t="s">
        <v>67</v>
      </c>
      <c r="T177" s="3"/>
      <c r="U177" s="3"/>
      <c r="V177" s="3"/>
      <c r="W177" s="3"/>
      <c r="X177" s="3"/>
      <c r="Y177" s="3"/>
      <c r="Z177" s="14"/>
      <c r="AA177" s="14"/>
      <c r="AB177" s="12"/>
    </row>
    <row r="178" spans="4:28" ht="49.5" hidden="1" customHeight="1">
      <c r="D178" s="16" t="e">
        <f>G163+#REF!+#REF!+G151+#REF!+G143+#REF!+G120+G96+#REF!+G91+G79+#REF!+G35+G12+#REF!</f>
        <v>#REF!</v>
      </c>
      <c r="F178" s="16" t="e">
        <f>I163+#REF!+#REF!+I151+#REF!+I143+#REF!+I120+I96+#REF!+I91+I79+#REF!+I35+I12+#REF!</f>
        <v>#REF!</v>
      </c>
      <c r="I178" s="53" t="e">
        <f>K163+#REF!+#REF!+K151+#REF!+K143+#REF!+K120+K96+#REF!+K91+K79+#REF!+K35+K12+#REF!</f>
        <v>#REF!</v>
      </c>
      <c r="J178" s="33" t="e">
        <f>M163+#REF!+#REF!+M151+#REF!+#REF!+M120+M96+#REF!+M91+M79+M35+#REF!+M12+M143+#REF!</f>
        <v>#REF!</v>
      </c>
      <c r="T178" s="3"/>
      <c r="U178" s="3"/>
      <c r="V178" s="3"/>
      <c r="W178" s="3"/>
      <c r="X178" s="3"/>
      <c r="Y178" s="3"/>
      <c r="Z178" s="14"/>
      <c r="AA178" s="14"/>
      <c r="AB178" s="12"/>
    </row>
    <row r="179" spans="4:28" ht="49.5" customHeight="1">
      <c r="T179" s="3"/>
      <c r="U179" s="3"/>
      <c r="V179" s="3"/>
      <c r="W179" s="3"/>
      <c r="X179" s="3"/>
      <c r="Y179" s="3"/>
      <c r="Z179" s="14"/>
      <c r="AA179" s="14"/>
      <c r="AB179" s="12"/>
    </row>
    <row r="180" spans="4:28" ht="49.5" customHeight="1">
      <c r="T180" s="3"/>
      <c r="U180" s="3"/>
      <c r="V180" s="3"/>
      <c r="W180" s="3"/>
      <c r="X180" s="3"/>
      <c r="Y180" s="3"/>
      <c r="Z180" s="14"/>
      <c r="AA180" s="14"/>
      <c r="AB180" s="12"/>
    </row>
    <row r="181" spans="4:28" ht="49.5" customHeight="1">
      <c r="T181" s="3"/>
      <c r="U181" s="3"/>
      <c r="V181" s="3"/>
      <c r="W181" s="3"/>
      <c r="X181" s="3"/>
      <c r="Y181" s="3"/>
      <c r="Z181" s="14"/>
      <c r="AA181" s="14"/>
      <c r="AB181" s="12"/>
    </row>
    <row r="182" spans="4:28" ht="49.5" customHeight="1">
      <c r="T182" s="3"/>
      <c r="U182" s="3"/>
      <c r="V182" s="3"/>
      <c r="W182" s="3"/>
      <c r="X182" s="3"/>
      <c r="Y182" s="3"/>
      <c r="Z182" s="14"/>
      <c r="AA182" s="14"/>
      <c r="AB182" s="12"/>
    </row>
    <row r="183" spans="4:28" ht="49.5" customHeight="1">
      <c r="T183" s="3"/>
      <c r="U183" s="3"/>
      <c r="V183" s="3"/>
      <c r="W183" s="3"/>
      <c r="X183" s="3"/>
      <c r="Y183" s="3"/>
      <c r="Z183" s="14"/>
      <c r="AA183" s="14"/>
      <c r="AB183" s="12"/>
    </row>
    <row r="184" spans="4:28" ht="49.5" customHeight="1">
      <c r="Z184" s="12"/>
      <c r="AA184" s="12"/>
      <c r="AB184" s="12"/>
    </row>
    <row r="185" spans="4:28" ht="49.5" customHeight="1">
      <c r="Z185" s="12"/>
      <c r="AA185" s="12"/>
      <c r="AB185" s="12"/>
    </row>
    <row r="186" spans="4:28" ht="49.5" customHeight="1">
      <c r="Z186" s="12"/>
      <c r="AA186" s="12"/>
      <c r="AB186" s="12"/>
    </row>
    <row r="187" spans="4:28" ht="49.5" customHeight="1">
      <c r="Z187" s="12"/>
      <c r="AA187" s="12"/>
      <c r="AB187" s="12"/>
    </row>
    <row r="188" spans="4:28" ht="49.5" customHeight="1">
      <c r="Z188" s="12"/>
      <c r="AA188" s="12"/>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row r="197" spans="26:28" ht="49.5" customHeight="1">
      <c r="Z197" s="12"/>
      <c r="AA197" s="12"/>
      <c r="AB197" s="12"/>
    </row>
  </sheetData>
  <mergeCells count="129">
    <mergeCell ref="G1:H1"/>
    <mergeCell ref="I1:J1"/>
    <mergeCell ref="D3:D4"/>
    <mergeCell ref="F3:F4"/>
    <mergeCell ref="G3:H3"/>
    <mergeCell ref="I3:J3"/>
    <mergeCell ref="K3:L3"/>
    <mergeCell ref="M3:N3"/>
    <mergeCell ref="O3:O4"/>
    <mergeCell ref="P3:P4"/>
    <mergeCell ref="Q3:Q4"/>
    <mergeCell ref="S3:S4"/>
    <mergeCell ref="I12:J12"/>
    <mergeCell ref="K12:L12"/>
    <mergeCell ref="M12:N12"/>
    <mergeCell ref="G14:H14"/>
    <mergeCell ref="I14:J14"/>
    <mergeCell ref="D17:D18"/>
    <mergeCell ref="F17:F18"/>
    <mergeCell ref="G17:H17"/>
    <mergeCell ref="I17:J17"/>
    <mergeCell ref="K17:L17"/>
    <mergeCell ref="M17:N17"/>
    <mergeCell ref="O17:O18"/>
    <mergeCell ref="P17:P18"/>
    <mergeCell ref="Q17:Q18"/>
    <mergeCell ref="S17:S18"/>
    <mergeCell ref="G35:H35"/>
    <mergeCell ref="I35:J35"/>
    <mergeCell ref="K35:L35"/>
    <mergeCell ref="M35:N35"/>
    <mergeCell ref="G37:H37"/>
    <mergeCell ref="I37:J37"/>
    <mergeCell ref="G55:H55"/>
    <mergeCell ref="I55:J55"/>
    <mergeCell ref="K55:L55"/>
    <mergeCell ref="M55:N55"/>
    <mergeCell ref="G57:H57"/>
    <mergeCell ref="I57:J57"/>
    <mergeCell ref="D60:D61"/>
    <mergeCell ref="F60:F61"/>
    <mergeCell ref="G60:H60"/>
    <mergeCell ref="I60:J60"/>
    <mergeCell ref="K60:L60"/>
    <mergeCell ref="M60:N60"/>
    <mergeCell ref="O60:O61"/>
    <mergeCell ref="P60:P61"/>
    <mergeCell ref="Q60:Q61"/>
    <mergeCell ref="S60:S61"/>
    <mergeCell ref="G66:H66"/>
    <mergeCell ref="I66:J66"/>
    <mergeCell ref="M66:N66"/>
    <mergeCell ref="G79:H79"/>
    <mergeCell ref="I79:J79"/>
    <mergeCell ref="K79:L79"/>
    <mergeCell ref="M79:N79"/>
    <mergeCell ref="G81:H81"/>
    <mergeCell ref="I81:J81"/>
    <mergeCell ref="D84:D85"/>
    <mergeCell ref="F84:F85"/>
    <mergeCell ref="G84:H84"/>
    <mergeCell ref="I84:J84"/>
    <mergeCell ref="K84:L84"/>
    <mergeCell ref="M84:N84"/>
    <mergeCell ref="O84:O85"/>
    <mergeCell ref="P84:P85"/>
    <mergeCell ref="Q84:Q85"/>
    <mergeCell ref="S84:S85"/>
    <mergeCell ref="G91:H91"/>
    <mergeCell ref="I91:J91"/>
    <mergeCell ref="K91:L91"/>
    <mergeCell ref="M91:N91"/>
    <mergeCell ref="O91:P91"/>
    <mergeCell ref="G96:H96"/>
    <mergeCell ref="I96:J96"/>
    <mergeCell ref="K96:L96"/>
    <mergeCell ref="M96:N96"/>
    <mergeCell ref="G98:H98"/>
    <mergeCell ref="I98:J98"/>
    <mergeCell ref="D101:D102"/>
    <mergeCell ref="F101:F102"/>
    <mergeCell ref="G101:H101"/>
    <mergeCell ref="I101:J101"/>
    <mergeCell ref="K101:L101"/>
    <mergeCell ref="M101:N101"/>
    <mergeCell ref="O101:O102"/>
    <mergeCell ref="P101:P102"/>
    <mergeCell ref="Q101:Q102"/>
    <mergeCell ref="S101:S102"/>
    <mergeCell ref="G120:H120"/>
    <mergeCell ref="I120:J120"/>
    <mergeCell ref="K120:L120"/>
    <mergeCell ref="M120:N120"/>
    <mergeCell ref="G122:H122"/>
    <mergeCell ref="I122:J122"/>
    <mergeCell ref="S125:S126"/>
    <mergeCell ref="G130:H130"/>
    <mergeCell ref="I130:J130"/>
    <mergeCell ref="K130:L130"/>
    <mergeCell ref="M130:N130"/>
    <mergeCell ref="D125:D126"/>
    <mergeCell ref="F125:F126"/>
    <mergeCell ref="G125:H125"/>
    <mergeCell ref="I125:J125"/>
    <mergeCell ref="K125:L125"/>
    <mergeCell ref="P1:Q1"/>
    <mergeCell ref="G163:H163"/>
    <mergeCell ref="I163:J163"/>
    <mergeCell ref="K163:L163"/>
    <mergeCell ref="M163:N163"/>
    <mergeCell ref="G151:H151"/>
    <mergeCell ref="I151:J151"/>
    <mergeCell ref="K151:L151"/>
    <mergeCell ref="M151:N151"/>
    <mergeCell ref="G156:H156"/>
    <mergeCell ref="I156:J156"/>
    <mergeCell ref="O143:P143"/>
    <mergeCell ref="G146:H146"/>
    <mergeCell ref="I146:J146"/>
    <mergeCell ref="O125:O126"/>
    <mergeCell ref="P125:P126"/>
    <mergeCell ref="Q125:Q126"/>
    <mergeCell ref="M125:N125"/>
    <mergeCell ref="K156:L156"/>
    <mergeCell ref="M156:N156"/>
    <mergeCell ref="G143:H143"/>
    <mergeCell ref="I143:J143"/>
    <mergeCell ref="K143:L143"/>
    <mergeCell ref="M143:N143"/>
  </mergeCells>
  <printOptions horizontalCentered="1"/>
  <pageMargins left="0" right="0" top="0.78740157480314965" bottom="0.98425196850393704" header="0.39370078740157483" footer="0.59055118110236227"/>
  <pageSetup paperSize="9" scale="90"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6"/>
  <sheetViews>
    <sheetView view="pageBreakPreview" topLeftCell="F1" zoomScaleNormal="90" zoomScaleSheetLayoutView="100" workbookViewId="0">
      <selection activeCell="I6" sqref="I6"/>
    </sheetView>
  </sheetViews>
  <sheetFormatPr defaultRowHeight="49.5" customHeight="1"/>
  <cols>
    <col min="1" max="1" width="14.7109375" hidden="1" customWidth="1"/>
    <col min="2" max="2" width="23.85546875" style="259" hidden="1" customWidth="1"/>
    <col min="3" max="3" width="15.85546875" style="3" hidden="1" customWidth="1"/>
    <col min="4" max="4" width="21" style="16" hidden="1" customWidth="1"/>
    <col min="5" max="5" width="3.85546875" hidden="1" customWidth="1"/>
    <col min="6" max="6" width="17.28515625" style="16" bestFit="1" customWidth="1"/>
    <col min="7" max="7" width="14.85546875" style="95" customWidth="1"/>
    <col min="8" max="8" width="11.140625" style="16" customWidth="1"/>
    <col min="9" max="9" width="13.140625" style="33" customWidth="1"/>
    <col min="10" max="10" width="11.42578125" style="33" customWidth="1"/>
    <col min="11" max="11" width="13.140625" style="16" hidden="1" customWidth="1"/>
    <col min="12" max="12" width="10" style="16" hidden="1" customWidth="1"/>
    <col min="13" max="13" width="11.42578125" style="95" customWidth="1"/>
    <col min="14" max="14" width="9.7109375" style="16" customWidth="1"/>
    <col min="15" max="15" width="8.85546875" style="104" customWidth="1"/>
    <col min="16" max="16" width="7.42578125" style="16" customWidth="1"/>
    <col min="17" max="17" width="35.5703125" style="16" customWidth="1"/>
    <col min="18" max="18" width="5.85546875" style="16" customWidth="1"/>
    <col min="19" max="19" width="8.7109375" style="204" customWidth="1"/>
    <col min="20" max="20" width="5.42578125" customWidth="1"/>
    <col min="21" max="21" width="9.85546875" bestFit="1" customWidth="1"/>
  </cols>
  <sheetData>
    <row r="1" spans="2:19" ht="32.25" customHeight="1">
      <c r="D1" s="77"/>
      <c r="F1" s="173"/>
      <c r="G1" s="382"/>
      <c r="H1" s="382"/>
      <c r="I1" s="382" t="s">
        <v>145</v>
      </c>
      <c r="J1" s="382"/>
      <c r="K1" s="78"/>
      <c r="L1" s="78"/>
      <c r="M1" s="199"/>
      <c r="N1" s="78"/>
      <c r="O1" s="79"/>
      <c r="P1" s="381" t="s">
        <v>383</v>
      </c>
      <c r="Q1" s="381"/>
      <c r="R1" s="41"/>
      <c r="S1" s="219"/>
    </row>
    <row r="2" spans="2:19" ht="28.5" customHeight="1" thickBot="1">
      <c r="D2" s="81"/>
      <c r="F2" s="174"/>
      <c r="G2" s="96"/>
      <c r="H2" s="82"/>
      <c r="I2" s="83"/>
      <c r="J2" s="143" t="s">
        <v>518</v>
      </c>
      <c r="K2" s="144"/>
      <c r="L2" s="144"/>
      <c r="M2" s="200"/>
      <c r="N2" s="144"/>
      <c r="O2" s="135"/>
      <c r="P2" s="144"/>
      <c r="Q2" s="84" t="s">
        <v>302</v>
      </c>
      <c r="R2" s="56"/>
      <c r="S2" s="175"/>
    </row>
    <row r="3" spans="2:19" ht="25.5" customHeight="1">
      <c r="D3" s="383" t="s">
        <v>144</v>
      </c>
      <c r="F3" s="383" t="s">
        <v>144</v>
      </c>
      <c r="G3" s="393" t="s">
        <v>375</v>
      </c>
      <c r="H3" s="394"/>
      <c r="I3" s="391" t="s">
        <v>170</v>
      </c>
      <c r="J3" s="392"/>
      <c r="K3" s="389" t="s">
        <v>2</v>
      </c>
      <c r="L3" s="390"/>
      <c r="M3" s="389" t="s">
        <v>220</v>
      </c>
      <c r="N3" s="390"/>
      <c r="O3" s="428" t="s">
        <v>139</v>
      </c>
      <c r="P3" s="387" t="s">
        <v>1</v>
      </c>
      <c r="Q3" s="387" t="s">
        <v>138</v>
      </c>
      <c r="R3" s="352"/>
      <c r="S3" s="420" t="s">
        <v>0</v>
      </c>
    </row>
    <row r="4" spans="2:19" ht="25.5" customHeight="1">
      <c r="D4" s="384"/>
      <c r="F4" s="384"/>
      <c r="G4" s="97" t="s">
        <v>374</v>
      </c>
      <c r="H4" s="49" t="s">
        <v>373</v>
      </c>
      <c r="I4" s="49" t="s">
        <v>143</v>
      </c>
      <c r="J4" s="49" t="s">
        <v>142</v>
      </c>
      <c r="K4" s="357" t="s">
        <v>4</v>
      </c>
      <c r="L4" s="357" t="s">
        <v>3</v>
      </c>
      <c r="M4" s="100" t="s">
        <v>141</v>
      </c>
      <c r="N4" s="357" t="s">
        <v>140</v>
      </c>
      <c r="O4" s="429"/>
      <c r="P4" s="388"/>
      <c r="Q4" s="388"/>
      <c r="R4" s="2"/>
      <c r="S4" s="421"/>
    </row>
    <row r="5" spans="2:19" ht="23.25" customHeight="1" thickBot="1">
      <c r="D5" s="85"/>
      <c r="F5" s="176"/>
      <c r="G5" s="145"/>
      <c r="H5" s="136"/>
      <c r="I5" s="146"/>
      <c r="J5" s="146"/>
      <c r="K5" s="136"/>
      <c r="L5" s="136"/>
      <c r="M5" s="145" t="s">
        <v>381</v>
      </c>
      <c r="N5" s="136"/>
      <c r="O5" s="136"/>
      <c r="P5" s="136"/>
      <c r="Q5" s="86" t="s">
        <v>451</v>
      </c>
      <c r="R5" s="42"/>
      <c r="S5" s="220"/>
    </row>
    <row r="6" spans="2:19" ht="23.25" customHeight="1">
      <c r="D6" s="342"/>
      <c r="F6"/>
      <c r="G6" s="269"/>
      <c r="H6" s="269">
        <f>I6</f>
        <v>34100232</v>
      </c>
      <c r="I6" s="269">
        <f>J6*O6</f>
        <v>34100232</v>
      </c>
      <c r="J6">
        <v>835.79</v>
      </c>
      <c r="K6" s="35"/>
      <c r="L6" s="98"/>
      <c r="M6" s="49">
        <v>0</v>
      </c>
      <c r="N6" s="40">
        <v>0</v>
      </c>
      <c r="O6" s="49">
        <v>40800</v>
      </c>
      <c r="P6" s="6" t="s">
        <v>325</v>
      </c>
      <c r="Q6" s="28" t="s">
        <v>495</v>
      </c>
      <c r="R6" s="269" t="s">
        <v>158</v>
      </c>
      <c r="S6" s="6" t="s">
        <v>494</v>
      </c>
    </row>
    <row r="7" spans="2:19" ht="33" customHeight="1">
      <c r="B7" s="259">
        <v>500</v>
      </c>
      <c r="D7" s="35"/>
      <c r="F7" s="35"/>
      <c r="G7" s="269">
        <f>(N7-J7)*O7</f>
        <v>39820200</v>
      </c>
      <c r="H7" s="269"/>
      <c r="I7" s="269">
        <f>J7*O7</f>
        <v>0</v>
      </c>
      <c r="J7" s="49">
        <v>0</v>
      </c>
      <c r="K7" s="6"/>
      <c r="L7" s="28"/>
      <c r="M7" s="269">
        <f>N7*O7</f>
        <v>39820200</v>
      </c>
      <c r="N7" s="6">
        <v>998</v>
      </c>
      <c r="O7" s="22">
        <v>39900</v>
      </c>
      <c r="P7" s="6" t="s">
        <v>325</v>
      </c>
      <c r="Q7" s="6" t="s">
        <v>330</v>
      </c>
      <c r="R7" s="63" t="s">
        <v>158</v>
      </c>
      <c r="S7" s="34" t="s">
        <v>328</v>
      </c>
    </row>
    <row r="8" spans="2:19" ht="33" customHeight="1">
      <c r="B8" s="259">
        <v>300</v>
      </c>
      <c r="D8" s="20"/>
      <c r="F8" s="20"/>
      <c r="G8" s="269"/>
      <c r="H8" s="269">
        <f>(J8-N8)*O8</f>
        <v>2929819.9999999995</v>
      </c>
      <c r="I8" s="269">
        <f>J8*O8</f>
        <v>4043819.9999999995</v>
      </c>
      <c r="J8" s="49">
        <v>72.599999999999994</v>
      </c>
      <c r="K8" s="6"/>
      <c r="L8" s="28"/>
      <c r="M8" s="269">
        <f>N8*O8</f>
        <v>1114000</v>
      </c>
      <c r="N8" s="6">
        <v>20</v>
      </c>
      <c r="O8" s="22">
        <v>55700</v>
      </c>
      <c r="P8" s="6" t="s">
        <v>325</v>
      </c>
      <c r="Q8" s="6" t="s">
        <v>331</v>
      </c>
      <c r="R8" s="63" t="s">
        <v>158</v>
      </c>
      <c r="S8" s="34" t="s">
        <v>329</v>
      </c>
    </row>
    <row r="9" spans="2:19" ht="33" customHeight="1">
      <c r="B9" s="259" t="s">
        <v>257</v>
      </c>
      <c r="C9" s="3" t="s">
        <v>280</v>
      </c>
      <c r="D9" s="20">
        <v>496.94</v>
      </c>
      <c r="F9" s="20"/>
      <c r="G9" s="98"/>
      <c r="H9" s="49"/>
      <c r="I9" s="40"/>
      <c r="J9" s="49"/>
      <c r="K9" s="6"/>
      <c r="L9" s="6"/>
      <c r="M9" s="269"/>
      <c r="N9" s="6"/>
      <c r="O9" s="22"/>
      <c r="P9" s="6"/>
      <c r="Q9" s="6"/>
      <c r="R9" s="63"/>
      <c r="S9" s="38"/>
    </row>
    <row r="10" spans="2:19" ht="33" customHeight="1">
      <c r="D10" s="20"/>
      <c r="F10" s="20"/>
      <c r="G10" s="98"/>
      <c r="H10" s="49"/>
      <c r="I10" s="40"/>
      <c r="J10" s="49"/>
      <c r="K10" s="6"/>
      <c r="L10" s="6"/>
      <c r="M10" s="191"/>
      <c r="N10" s="6"/>
      <c r="O10" s="22"/>
      <c r="P10" s="6"/>
      <c r="Q10" s="4"/>
      <c r="R10" s="63"/>
      <c r="S10" s="36"/>
    </row>
    <row r="11" spans="2:19" ht="49.5" customHeight="1" thickBot="1">
      <c r="D11" s="116"/>
      <c r="F11" s="116"/>
      <c r="G11" s="337">
        <f>SUM(G6:G10)</f>
        <v>39820200</v>
      </c>
      <c r="H11" s="337">
        <f>SUM(H6:H10)</f>
        <v>37030052</v>
      </c>
      <c r="I11" s="402">
        <f>SUM(I6:I10)</f>
        <v>38144052</v>
      </c>
      <c r="J11" s="402"/>
      <c r="K11" s="400">
        <f>SUM(K7:K8)</f>
        <v>0</v>
      </c>
      <c r="L11" s="400"/>
      <c r="M11" s="400">
        <f>SUM(M6:M10)</f>
        <v>40934200</v>
      </c>
      <c r="N11" s="400"/>
      <c r="O11" s="39"/>
      <c r="P11" s="115"/>
      <c r="Q11" s="115" t="s">
        <v>10</v>
      </c>
      <c r="R11" s="8"/>
      <c r="S11" s="206"/>
    </row>
    <row r="12" spans="2:19" ht="49.5" customHeight="1">
      <c r="D12" s="13"/>
      <c r="F12" s="13"/>
      <c r="G12" s="99"/>
      <c r="H12" s="37"/>
      <c r="I12" s="50"/>
      <c r="J12" s="50"/>
      <c r="K12" s="37"/>
      <c r="L12" s="37"/>
      <c r="M12" s="99"/>
      <c r="N12" s="37"/>
      <c r="O12" s="24"/>
      <c r="P12" s="9"/>
      <c r="Q12" s="9"/>
      <c r="R12" s="9"/>
      <c r="S12" s="208"/>
    </row>
    <row r="13" spans="2:19" ht="23.25" hidden="1" customHeight="1">
      <c r="D13" s="77"/>
      <c r="F13" s="173"/>
      <c r="G13" s="382" t="s">
        <v>300</v>
      </c>
      <c r="H13" s="382"/>
      <c r="I13" s="382" t="s">
        <v>145</v>
      </c>
      <c r="J13" s="382"/>
      <c r="K13" s="78"/>
      <c r="L13" s="78"/>
      <c r="M13" s="199"/>
      <c r="N13" s="78"/>
      <c r="O13" s="79"/>
      <c r="P13" s="78"/>
      <c r="Q13" s="80" t="s">
        <v>171</v>
      </c>
      <c r="R13" s="41"/>
      <c r="S13" s="219"/>
    </row>
    <row r="14" spans="2:19" ht="23.25" hidden="1" customHeight="1">
      <c r="D14" s="81"/>
      <c r="F14" s="174"/>
      <c r="G14" s="96"/>
      <c r="H14" s="82"/>
      <c r="I14" s="83"/>
      <c r="J14" s="143" t="s">
        <v>146</v>
      </c>
      <c r="K14" s="144"/>
      <c r="L14" s="144"/>
      <c r="M14" s="200"/>
      <c r="N14" s="144"/>
      <c r="O14" s="135"/>
      <c r="P14" s="144"/>
      <c r="Q14" s="84" t="s">
        <v>292</v>
      </c>
      <c r="R14" s="56"/>
      <c r="S14" s="175"/>
    </row>
    <row r="15" spans="2:19" ht="23.25" hidden="1" customHeight="1" thickBot="1">
      <c r="D15" s="85"/>
      <c r="F15" s="85"/>
      <c r="G15" s="145"/>
      <c r="H15" s="136"/>
      <c r="I15" s="146"/>
      <c r="J15" s="146"/>
      <c r="K15" s="136"/>
      <c r="L15" s="136"/>
      <c r="M15" s="145" t="s">
        <v>183</v>
      </c>
      <c r="N15" s="136"/>
      <c r="O15" s="136"/>
      <c r="P15" s="136"/>
      <c r="Q15" s="86" t="s">
        <v>184</v>
      </c>
      <c r="R15" s="42"/>
      <c r="S15" s="205"/>
    </row>
    <row r="16" spans="2:19" ht="25.5" hidden="1" customHeight="1">
      <c r="D16" s="385" t="s">
        <v>144</v>
      </c>
      <c r="F16" s="385" t="s">
        <v>144</v>
      </c>
      <c r="G16" s="406" t="s">
        <v>63</v>
      </c>
      <c r="H16" s="406"/>
      <c r="I16" s="409" t="s">
        <v>170</v>
      </c>
      <c r="J16" s="409"/>
      <c r="K16" s="401" t="s">
        <v>2</v>
      </c>
      <c r="L16" s="401"/>
      <c r="M16" s="401" t="s">
        <v>220</v>
      </c>
      <c r="N16" s="401"/>
      <c r="O16" s="426" t="s">
        <v>139</v>
      </c>
      <c r="P16" s="401" t="s">
        <v>1</v>
      </c>
      <c r="Q16" s="401" t="s">
        <v>138</v>
      </c>
      <c r="R16" s="62"/>
      <c r="S16" s="424" t="s">
        <v>0</v>
      </c>
    </row>
    <row r="17" spans="2:20" ht="25.5" hidden="1" customHeight="1">
      <c r="D17" s="386"/>
      <c r="F17" s="386"/>
      <c r="G17" s="97" t="s">
        <v>143</v>
      </c>
      <c r="H17" s="49" t="s">
        <v>142</v>
      </c>
      <c r="I17" s="49" t="s">
        <v>143</v>
      </c>
      <c r="J17" s="49" t="s">
        <v>142</v>
      </c>
      <c r="K17" s="1" t="s">
        <v>4</v>
      </c>
      <c r="L17" s="1" t="s">
        <v>3</v>
      </c>
      <c r="M17" s="100" t="s">
        <v>141</v>
      </c>
      <c r="N17" s="1" t="s">
        <v>140</v>
      </c>
      <c r="O17" s="427"/>
      <c r="P17" s="422"/>
      <c r="Q17" s="422"/>
      <c r="R17" s="2"/>
      <c r="S17" s="425"/>
    </row>
    <row r="18" spans="2:20" ht="30.75" hidden="1" customHeight="1">
      <c r="D18" s="111">
        <v>10848.34</v>
      </c>
      <c r="E18" s="109"/>
      <c r="F18" s="111"/>
      <c r="G18" s="100">
        <f t="shared" ref="G18:G33" si="0">H18*O18</f>
        <v>29289600</v>
      </c>
      <c r="H18" s="1">
        <v>10848</v>
      </c>
      <c r="I18" s="40">
        <f>J18*O18</f>
        <v>-9036900</v>
      </c>
      <c r="J18" s="49">
        <f>H18-N18</f>
        <v>-3347</v>
      </c>
      <c r="K18" s="6"/>
      <c r="L18" s="4"/>
      <c r="M18" s="191">
        <f t="shared" ref="M18:M33" si="1">N18*O18</f>
        <v>38326500</v>
      </c>
      <c r="N18" s="4">
        <v>14195</v>
      </c>
      <c r="O18" s="22">
        <v>2700</v>
      </c>
      <c r="P18" s="6" t="s">
        <v>35</v>
      </c>
      <c r="Q18" s="45" t="s">
        <v>152</v>
      </c>
      <c r="R18" s="63" t="s">
        <v>158</v>
      </c>
      <c r="S18" s="38" t="s">
        <v>71</v>
      </c>
      <c r="T18" s="30"/>
    </row>
    <row r="19" spans="2:20" ht="30.75" hidden="1" customHeight="1">
      <c r="D19" s="110">
        <v>1205.3599999999999</v>
      </c>
      <c r="E19" s="109"/>
      <c r="F19" s="110"/>
      <c r="G19" s="100">
        <f t="shared" si="0"/>
        <v>18195500</v>
      </c>
      <c r="H19" s="1">
        <v>1205</v>
      </c>
      <c r="I19" s="40">
        <f t="shared" ref="I19:I33" si="2">J19*O19</f>
        <v>18195500</v>
      </c>
      <c r="J19" s="49">
        <f t="shared" ref="J19:J32" si="3">H19-N19</f>
        <v>1205</v>
      </c>
      <c r="K19" s="6"/>
      <c r="L19" s="4"/>
      <c r="M19" s="191">
        <f t="shared" si="1"/>
        <v>0</v>
      </c>
      <c r="N19" s="4"/>
      <c r="O19" s="22">
        <v>15100</v>
      </c>
      <c r="P19" s="6" t="s">
        <v>35</v>
      </c>
      <c r="Q19" s="45" t="s">
        <v>73</v>
      </c>
      <c r="R19" s="63" t="s">
        <v>158</v>
      </c>
      <c r="S19" s="38" t="s">
        <v>72</v>
      </c>
      <c r="T19" s="30"/>
    </row>
    <row r="20" spans="2:20" ht="30.75" hidden="1" customHeight="1">
      <c r="B20" s="259">
        <v>1500</v>
      </c>
      <c r="D20" s="110">
        <v>1250</v>
      </c>
      <c r="E20" s="109"/>
      <c r="F20" s="110"/>
      <c r="G20" s="100">
        <f t="shared" si="0"/>
        <v>42900000</v>
      </c>
      <c r="H20" s="1">
        <f>1250+1500</f>
        <v>2750</v>
      </c>
      <c r="I20" s="40">
        <f t="shared" si="2"/>
        <v>42900000</v>
      </c>
      <c r="J20" s="49">
        <f t="shared" si="3"/>
        <v>2750</v>
      </c>
      <c r="K20" s="6"/>
      <c r="L20" s="4"/>
      <c r="M20" s="191">
        <f t="shared" si="1"/>
        <v>0</v>
      </c>
      <c r="N20" s="4"/>
      <c r="O20" s="22">
        <v>15600</v>
      </c>
      <c r="P20" s="6" t="s">
        <v>35</v>
      </c>
      <c r="Q20" s="45" t="s">
        <v>246</v>
      </c>
      <c r="R20" s="63" t="s">
        <v>158</v>
      </c>
      <c r="S20" s="38" t="s">
        <v>245</v>
      </c>
      <c r="T20" s="30"/>
    </row>
    <row r="21" spans="2:20" ht="30.75" hidden="1" customHeight="1">
      <c r="B21" s="259" t="s">
        <v>265</v>
      </c>
      <c r="C21" s="3" t="s">
        <v>281</v>
      </c>
      <c r="D21" s="110">
        <v>942</v>
      </c>
      <c r="E21" s="109"/>
      <c r="F21" s="110"/>
      <c r="G21" s="100">
        <f t="shared" si="0"/>
        <v>10413420</v>
      </c>
      <c r="H21" s="1">
        <f>942+1000*0.4+420</f>
        <v>1762</v>
      </c>
      <c r="I21" s="40">
        <f t="shared" si="2"/>
        <v>2139420</v>
      </c>
      <c r="J21" s="49">
        <f t="shared" si="3"/>
        <v>362</v>
      </c>
      <c r="K21" s="6"/>
      <c r="L21" s="4"/>
      <c r="M21" s="191">
        <f t="shared" si="1"/>
        <v>8274000</v>
      </c>
      <c r="N21" s="4">
        <v>1400</v>
      </c>
      <c r="O21" s="22">
        <v>5910</v>
      </c>
      <c r="P21" s="6" t="s">
        <v>35</v>
      </c>
      <c r="Q21" s="45" t="s">
        <v>75</v>
      </c>
      <c r="R21" s="63" t="s">
        <v>158</v>
      </c>
      <c r="S21" s="38" t="s">
        <v>74</v>
      </c>
      <c r="T21" s="30"/>
    </row>
    <row r="22" spans="2:20" ht="30.75" hidden="1" customHeight="1">
      <c r="B22" s="259" t="s">
        <v>266</v>
      </c>
      <c r="D22" s="110">
        <v>1152.5999999999999</v>
      </c>
      <c r="E22" s="109"/>
      <c r="F22" s="110"/>
      <c r="G22" s="100">
        <f t="shared" si="0"/>
        <v>40759200</v>
      </c>
      <c r="H22" s="1">
        <f>1152+2520</f>
        <v>3672</v>
      </c>
      <c r="I22" s="40">
        <f t="shared" si="2"/>
        <v>40759200</v>
      </c>
      <c r="J22" s="49">
        <f t="shared" si="3"/>
        <v>3672</v>
      </c>
      <c r="K22" s="6"/>
      <c r="L22" s="4"/>
      <c r="M22" s="191"/>
      <c r="N22" s="4"/>
      <c r="O22" s="22">
        <v>11100</v>
      </c>
      <c r="P22" s="6" t="s">
        <v>35</v>
      </c>
      <c r="Q22" s="45" t="s">
        <v>248</v>
      </c>
      <c r="R22" s="63" t="s">
        <v>158</v>
      </c>
      <c r="S22" s="38" t="s">
        <v>247</v>
      </c>
      <c r="T22" s="30"/>
    </row>
    <row r="23" spans="2:20" ht="30.75" hidden="1" customHeight="1">
      <c r="C23" s="3" t="s">
        <v>282</v>
      </c>
      <c r="D23" s="110">
        <v>1017.33</v>
      </c>
      <c r="E23" s="109"/>
      <c r="F23" s="110"/>
      <c r="G23" s="100">
        <f t="shared" si="0"/>
        <v>97239700</v>
      </c>
      <c r="H23" s="1">
        <f>1017+1000*0.5</f>
        <v>1517</v>
      </c>
      <c r="I23" s="40">
        <f t="shared" si="2"/>
        <v>-5320300</v>
      </c>
      <c r="J23" s="49">
        <f t="shared" si="3"/>
        <v>-83</v>
      </c>
      <c r="K23" s="6"/>
      <c r="L23" s="4"/>
      <c r="M23" s="191">
        <f t="shared" si="1"/>
        <v>102560000</v>
      </c>
      <c r="N23" s="4">
        <v>1600</v>
      </c>
      <c r="O23" s="22">
        <v>64100</v>
      </c>
      <c r="P23" s="6" t="s">
        <v>35</v>
      </c>
      <c r="Q23" s="45" t="s">
        <v>77</v>
      </c>
      <c r="R23" s="63" t="s">
        <v>158</v>
      </c>
      <c r="S23" s="38" t="s">
        <v>76</v>
      </c>
      <c r="T23" s="30"/>
    </row>
    <row r="24" spans="2:20" ht="30.75" hidden="1" customHeight="1">
      <c r="B24" s="259">
        <v>800</v>
      </c>
      <c r="D24" s="110"/>
      <c r="E24" s="109"/>
      <c r="F24" s="110"/>
      <c r="G24" s="100">
        <f t="shared" si="0"/>
        <v>740000</v>
      </c>
      <c r="H24" s="1">
        <v>800</v>
      </c>
      <c r="I24" s="40">
        <f t="shared" si="2"/>
        <v>740000</v>
      </c>
      <c r="J24" s="49">
        <f t="shared" si="3"/>
        <v>800</v>
      </c>
      <c r="K24" s="6"/>
      <c r="L24" s="4"/>
      <c r="M24" s="191">
        <f t="shared" si="1"/>
        <v>0</v>
      </c>
      <c r="N24" s="4"/>
      <c r="O24" s="22">
        <v>925</v>
      </c>
      <c r="P24" s="6" t="s">
        <v>35</v>
      </c>
      <c r="Q24" s="45" t="s">
        <v>80</v>
      </c>
      <c r="R24" s="63" t="s">
        <v>158</v>
      </c>
      <c r="S24" s="38" t="s">
        <v>78</v>
      </c>
      <c r="T24" s="30"/>
    </row>
    <row r="25" spans="2:20" ht="30.75" hidden="1" customHeight="1">
      <c r="D25" s="110"/>
      <c r="E25" s="109"/>
      <c r="F25" s="110"/>
      <c r="G25" s="100">
        <f t="shared" si="0"/>
        <v>2280000</v>
      </c>
      <c r="H25" s="1">
        <v>300</v>
      </c>
      <c r="I25" s="40">
        <f t="shared" si="2"/>
        <v>2280000</v>
      </c>
      <c r="J25" s="49">
        <f t="shared" si="3"/>
        <v>300</v>
      </c>
      <c r="K25" s="6"/>
      <c r="L25" s="4"/>
      <c r="M25" s="191">
        <f t="shared" si="1"/>
        <v>0</v>
      </c>
      <c r="N25" s="4"/>
      <c r="O25" s="22">
        <v>7600</v>
      </c>
      <c r="P25" s="6" t="s">
        <v>35</v>
      </c>
      <c r="Q25" s="45" t="s">
        <v>81</v>
      </c>
      <c r="R25" s="63" t="s">
        <v>158</v>
      </c>
      <c r="S25" s="38" t="s">
        <v>79</v>
      </c>
      <c r="T25" s="30"/>
    </row>
    <row r="26" spans="2:20" ht="30.75" hidden="1" customHeight="1">
      <c r="B26" s="259">
        <v>4200</v>
      </c>
      <c r="C26" s="3">
        <v>1000</v>
      </c>
      <c r="D26" s="110">
        <v>16823.82</v>
      </c>
      <c r="E26" s="109"/>
      <c r="F26" s="110"/>
      <c r="G26" s="100">
        <f t="shared" si="0"/>
        <v>66509460</v>
      </c>
      <c r="H26" s="203">
        <f>16823+1000+4200</f>
        <v>22023</v>
      </c>
      <c r="I26" s="40">
        <f t="shared" si="2"/>
        <v>57449460</v>
      </c>
      <c r="J26" s="49">
        <f t="shared" si="3"/>
        <v>19023</v>
      </c>
      <c r="K26" s="6"/>
      <c r="L26" s="4"/>
      <c r="M26" s="191">
        <f t="shared" si="1"/>
        <v>9060000</v>
      </c>
      <c r="N26" s="4">
        <v>3000</v>
      </c>
      <c r="O26" s="22">
        <v>3020</v>
      </c>
      <c r="P26" s="6" t="s">
        <v>35</v>
      </c>
      <c r="Q26" s="46" t="s">
        <v>41</v>
      </c>
      <c r="R26" s="63" t="s">
        <v>158</v>
      </c>
      <c r="S26" s="31" t="s">
        <v>37</v>
      </c>
      <c r="T26" s="29"/>
    </row>
    <row r="27" spans="2:20" ht="30.75" hidden="1" customHeight="1">
      <c r="B27" s="259" t="s">
        <v>267</v>
      </c>
      <c r="C27" s="3" t="s">
        <v>283</v>
      </c>
      <c r="D27" s="110">
        <v>67702.559999999998</v>
      </c>
      <c r="E27" s="109"/>
      <c r="F27" s="110"/>
      <c r="G27" s="100">
        <f t="shared" si="0"/>
        <v>23453030</v>
      </c>
      <c r="H27" s="1">
        <f>67702+4*1000+4200*4</f>
        <v>88502</v>
      </c>
      <c r="I27" s="40">
        <f t="shared" si="2"/>
        <v>20273030</v>
      </c>
      <c r="J27" s="49">
        <f t="shared" si="3"/>
        <v>76502</v>
      </c>
      <c r="K27" s="6"/>
      <c r="L27" s="4"/>
      <c r="M27" s="191">
        <f t="shared" si="1"/>
        <v>3180000</v>
      </c>
      <c r="N27" s="4">
        <v>12000</v>
      </c>
      <c r="O27" s="22">
        <v>265</v>
      </c>
      <c r="P27" s="6" t="s">
        <v>35</v>
      </c>
      <c r="Q27" s="46" t="s">
        <v>42</v>
      </c>
      <c r="R27" s="63" t="s">
        <v>158</v>
      </c>
      <c r="S27" s="31" t="s">
        <v>38</v>
      </c>
      <c r="T27" s="29"/>
    </row>
    <row r="28" spans="2:20" ht="30.75" hidden="1" customHeight="1">
      <c r="B28" s="259" t="s">
        <v>268</v>
      </c>
      <c r="C28" s="3" t="s">
        <v>284</v>
      </c>
      <c r="D28" s="110">
        <v>161360.4</v>
      </c>
      <c r="E28" s="109"/>
      <c r="F28" s="110"/>
      <c r="G28" s="100">
        <f t="shared" si="0"/>
        <v>183612800</v>
      </c>
      <c r="H28" s="1">
        <f>161360+5*1000+4200*5</f>
        <v>187360</v>
      </c>
      <c r="I28" s="40">
        <f t="shared" si="2"/>
        <v>4466840</v>
      </c>
      <c r="J28" s="49">
        <f t="shared" si="3"/>
        <v>4558</v>
      </c>
      <c r="K28" s="6"/>
      <c r="L28" s="4"/>
      <c r="M28" s="191">
        <f t="shared" si="1"/>
        <v>179145960</v>
      </c>
      <c r="N28" s="4">
        <v>182802</v>
      </c>
      <c r="O28" s="22">
        <v>980</v>
      </c>
      <c r="P28" s="6" t="s">
        <v>44</v>
      </c>
      <c r="Q28" s="46" t="s">
        <v>222</v>
      </c>
      <c r="R28" s="63" t="s">
        <v>158</v>
      </c>
      <c r="S28" s="31" t="s">
        <v>39</v>
      </c>
      <c r="T28" s="29"/>
    </row>
    <row r="29" spans="2:20" ht="30.75" hidden="1" customHeight="1">
      <c r="D29" s="110">
        <v>103500</v>
      </c>
      <c r="E29" s="109"/>
      <c r="F29" s="110"/>
      <c r="G29" s="100">
        <f t="shared" si="0"/>
        <v>92632500</v>
      </c>
      <c r="H29" s="1">
        <v>103500</v>
      </c>
      <c r="I29" s="40">
        <f t="shared" si="2"/>
        <v>-10292500</v>
      </c>
      <c r="J29" s="49">
        <f t="shared" si="3"/>
        <v>-11500</v>
      </c>
      <c r="K29" s="6"/>
      <c r="L29" s="4"/>
      <c r="M29" s="191">
        <f t="shared" si="1"/>
        <v>102925000</v>
      </c>
      <c r="N29" s="4">
        <v>115000</v>
      </c>
      <c r="O29" s="22">
        <v>895</v>
      </c>
      <c r="P29" s="6" t="s">
        <v>44</v>
      </c>
      <c r="Q29" s="46" t="s">
        <v>223</v>
      </c>
      <c r="R29" s="63" t="s">
        <v>158</v>
      </c>
      <c r="S29" s="31" t="s">
        <v>221</v>
      </c>
      <c r="T29" s="29"/>
    </row>
    <row r="30" spans="2:20" ht="30.75" hidden="1" customHeight="1">
      <c r="B30" s="259" t="s">
        <v>269</v>
      </c>
      <c r="C30" s="3" t="s">
        <v>285</v>
      </c>
      <c r="D30" s="110">
        <v>8037.38</v>
      </c>
      <c r="E30" s="109"/>
      <c r="F30" s="110"/>
      <c r="G30" s="100">
        <f t="shared" si="0"/>
        <v>14662800</v>
      </c>
      <c r="H30" s="1">
        <f>8037+780*0.5*5+2232</f>
        <v>12219</v>
      </c>
      <c r="I30" s="40">
        <f t="shared" si="2"/>
        <v>14662800</v>
      </c>
      <c r="J30" s="49">
        <f t="shared" si="3"/>
        <v>12219</v>
      </c>
      <c r="K30" s="6"/>
      <c r="L30" s="4"/>
      <c r="M30" s="191">
        <f t="shared" si="1"/>
        <v>0</v>
      </c>
      <c r="N30" s="4"/>
      <c r="O30" s="105">
        <v>1200</v>
      </c>
      <c r="P30" s="10" t="s">
        <v>44</v>
      </c>
      <c r="Q30" s="47" t="s">
        <v>43</v>
      </c>
      <c r="R30" s="63" t="s">
        <v>158</v>
      </c>
      <c r="S30" s="31" t="s">
        <v>40</v>
      </c>
      <c r="T30" s="29"/>
    </row>
    <row r="31" spans="2:20" ht="30.75" hidden="1" customHeight="1">
      <c r="D31" s="110">
        <v>23833.7</v>
      </c>
      <c r="E31" s="109"/>
      <c r="F31" s="110"/>
      <c r="G31" s="100">
        <f t="shared" si="0"/>
        <v>412300000</v>
      </c>
      <c r="H31" s="1">
        <f>H33+H131</f>
        <v>11780</v>
      </c>
      <c r="I31" s="40">
        <f t="shared" si="2"/>
        <v>-791420000</v>
      </c>
      <c r="J31" s="49">
        <f t="shared" si="3"/>
        <v>-22612</v>
      </c>
      <c r="K31" s="6"/>
      <c r="L31" s="4"/>
      <c r="M31" s="192">
        <f t="shared" si="1"/>
        <v>1203720000</v>
      </c>
      <c r="N31" s="4">
        <v>34392</v>
      </c>
      <c r="O31" s="105">
        <v>35000</v>
      </c>
      <c r="P31" s="6" t="s">
        <v>35</v>
      </c>
      <c r="Q31" s="48" t="s">
        <v>225</v>
      </c>
      <c r="R31" s="63" t="s">
        <v>158</v>
      </c>
      <c r="S31" s="31" t="s">
        <v>224</v>
      </c>
      <c r="T31" s="29"/>
    </row>
    <row r="32" spans="2:20" ht="30.75" hidden="1" customHeight="1">
      <c r="D32" s="112"/>
      <c r="E32" s="109"/>
      <c r="F32" s="112"/>
      <c r="G32" s="100">
        <f t="shared" si="0"/>
        <v>2060000</v>
      </c>
      <c r="H32" s="1">
        <v>4000</v>
      </c>
      <c r="I32" s="40">
        <f t="shared" si="2"/>
        <v>2060000</v>
      </c>
      <c r="J32" s="49">
        <f t="shared" si="3"/>
        <v>4000</v>
      </c>
      <c r="K32" s="6"/>
      <c r="L32" s="4"/>
      <c r="M32" s="191">
        <f t="shared" si="1"/>
        <v>0</v>
      </c>
      <c r="N32" s="4"/>
      <c r="O32" s="105">
        <v>515</v>
      </c>
      <c r="P32" s="6" t="s">
        <v>35</v>
      </c>
      <c r="Q32" s="48" t="s">
        <v>154</v>
      </c>
      <c r="R32" s="63" t="s">
        <v>158</v>
      </c>
      <c r="S32" s="31" t="s">
        <v>153</v>
      </c>
      <c r="T32" s="29"/>
    </row>
    <row r="33" spans="2:20" ht="30.75" hidden="1" customHeight="1">
      <c r="D33" s="122">
        <v>4500</v>
      </c>
      <c r="E33" s="109"/>
      <c r="F33" s="122"/>
      <c r="G33" s="100">
        <f t="shared" si="0"/>
        <v>306000000</v>
      </c>
      <c r="H33" s="224">
        <v>4500</v>
      </c>
      <c r="I33" s="40">
        <f t="shared" si="2"/>
        <v>-34000000</v>
      </c>
      <c r="J33" s="49">
        <f>H33-N33</f>
        <v>-500</v>
      </c>
      <c r="K33" s="7"/>
      <c r="L33" s="59"/>
      <c r="M33" s="191">
        <f t="shared" si="1"/>
        <v>340000000</v>
      </c>
      <c r="N33" s="59">
        <v>5000</v>
      </c>
      <c r="O33" s="225">
        <v>68000</v>
      </c>
      <c r="P33" s="6" t="s">
        <v>35</v>
      </c>
      <c r="Q33" s="226" t="s">
        <v>227</v>
      </c>
      <c r="R33" s="63" t="s">
        <v>158</v>
      </c>
      <c r="S33" s="227" t="s">
        <v>226</v>
      </c>
      <c r="T33" s="29"/>
    </row>
    <row r="34" spans="2:20" ht="34.5" hidden="1" customHeight="1" thickBot="1">
      <c r="D34" s="118"/>
      <c r="E34" s="109"/>
      <c r="F34" s="118"/>
      <c r="G34" s="397">
        <f>SUM(G18:G33)</f>
        <v>1343048010</v>
      </c>
      <c r="H34" s="398"/>
      <c r="I34" s="402">
        <f>SUM(I18:I33)</f>
        <v>-644143450</v>
      </c>
      <c r="J34" s="402"/>
      <c r="K34" s="400">
        <f>SUM(K18:K32)</f>
        <v>0</v>
      </c>
      <c r="L34" s="400"/>
      <c r="M34" s="400">
        <f>SUM(M18:M33)</f>
        <v>1987191460</v>
      </c>
      <c r="N34" s="400"/>
      <c r="O34" s="119"/>
      <c r="P34" s="117"/>
      <c r="Q34" s="114" t="s">
        <v>5</v>
      </c>
      <c r="R34" s="8" t="s">
        <v>158</v>
      </c>
      <c r="S34" s="209"/>
      <c r="T34" s="29"/>
    </row>
    <row r="35" spans="2:20" ht="49.5" hidden="1" customHeight="1" thickBot="1">
      <c r="D35" s="13"/>
      <c r="F35" s="13"/>
      <c r="G35" s="101"/>
      <c r="H35" s="44"/>
      <c r="I35" s="51"/>
      <c r="J35" s="51"/>
      <c r="K35" s="44"/>
      <c r="L35" s="44"/>
      <c r="M35" s="101"/>
      <c r="N35" s="44"/>
      <c r="O35" s="106"/>
      <c r="P35" s="44"/>
      <c r="Q35" s="19"/>
      <c r="R35" s="70"/>
      <c r="S35" s="210"/>
      <c r="T35" s="29"/>
    </row>
    <row r="36" spans="2:20" ht="23.25" hidden="1" customHeight="1">
      <c r="D36" s="173"/>
      <c r="F36" s="173"/>
      <c r="G36" s="382" t="s">
        <v>300</v>
      </c>
      <c r="H36" s="382"/>
      <c r="I36" s="382" t="s">
        <v>145</v>
      </c>
      <c r="J36" s="382"/>
      <c r="K36" s="78"/>
      <c r="L36" s="78"/>
      <c r="M36" s="199"/>
      <c r="N36" s="78"/>
      <c r="O36" s="79"/>
      <c r="P36" s="78"/>
      <c r="Q36" s="80" t="s">
        <v>171</v>
      </c>
      <c r="R36" s="41"/>
      <c r="S36" s="219"/>
    </row>
    <row r="37" spans="2:20" ht="23.25" hidden="1" customHeight="1">
      <c r="D37" s="174"/>
      <c r="F37" s="174"/>
      <c r="G37" s="96"/>
      <c r="H37" s="82"/>
      <c r="I37" s="83"/>
      <c r="J37" s="143" t="s">
        <v>146</v>
      </c>
      <c r="K37" s="144"/>
      <c r="L37" s="144"/>
      <c r="M37" s="200"/>
      <c r="N37" s="144"/>
      <c r="O37" s="135"/>
      <c r="P37" s="144"/>
      <c r="Q37" s="84" t="s">
        <v>292</v>
      </c>
      <c r="R37" s="56"/>
      <c r="S37" s="175"/>
    </row>
    <row r="38" spans="2:20" ht="25.5" hidden="1" customHeight="1" thickBot="1">
      <c r="D38" s="176"/>
      <c r="F38" s="176"/>
      <c r="G38" s="145"/>
      <c r="H38" s="136"/>
      <c r="I38" s="146"/>
      <c r="J38" s="146"/>
      <c r="K38" s="136"/>
      <c r="L38" s="136"/>
      <c r="M38" s="145" t="s">
        <v>183</v>
      </c>
      <c r="N38" s="136"/>
      <c r="O38" s="136"/>
      <c r="P38" s="136"/>
      <c r="Q38" s="86" t="s">
        <v>185</v>
      </c>
      <c r="R38" s="42"/>
      <c r="S38" s="220"/>
    </row>
    <row r="39" spans="2:20" ht="25.5" hidden="1" customHeight="1">
      <c r="C39" s="3" t="s">
        <v>288</v>
      </c>
      <c r="D39" s="249">
        <v>462.4</v>
      </c>
      <c r="F39" s="249"/>
      <c r="G39" s="250">
        <f>H39*O39</f>
        <v>44737000</v>
      </c>
      <c r="H39" s="251">
        <f>462+100*7</f>
        <v>1162</v>
      </c>
      <c r="I39" s="40">
        <f>J39*O39</f>
        <v>42427000</v>
      </c>
      <c r="J39" s="268">
        <f>H39-N39</f>
        <v>1102</v>
      </c>
      <c r="K39" s="251"/>
      <c r="L39" s="251"/>
      <c r="M39" s="252">
        <f>N39*O39</f>
        <v>2310000</v>
      </c>
      <c r="N39" s="253">
        <v>60</v>
      </c>
      <c r="O39" s="254">
        <v>38500</v>
      </c>
      <c r="P39" s="255" t="s">
        <v>187</v>
      </c>
      <c r="Q39" s="256" t="s">
        <v>229</v>
      </c>
      <c r="R39" s="257"/>
      <c r="S39" s="258" t="s">
        <v>228</v>
      </c>
    </row>
    <row r="40" spans="2:20" ht="30.75" hidden="1" customHeight="1">
      <c r="B40" s="259">
        <v>1099</v>
      </c>
      <c r="D40" s="228">
        <v>900</v>
      </c>
      <c r="E40" s="109"/>
      <c r="F40" s="228"/>
      <c r="G40" s="100">
        <f t="shared" ref="G40:G53" si="4">H40*O40</f>
        <v>184307800</v>
      </c>
      <c r="H40" s="1">
        <f>900+1099</f>
        <v>1999</v>
      </c>
      <c r="I40" s="40">
        <f t="shared" ref="I40:I53" si="5">J40*O40</f>
        <v>168910400</v>
      </c>
      <c r="J40" s="49">
        <f t="shared" ref="J40:J53" si="6">H40-N40</f>
        <v>1832</v>
      </c>
      <c r="K40" s="1"/>
      <c r="L40" s="1"/>
      <c r="M40" s="242">
        <f t="shared" ref="M40:M53" si="7">N40*O40</f>
        <v>15397400</v>
      </c>
      <c r="N40" s="231">
        <v>167</v>
      </c>
      <c r="O40" s="232">
        <v>92200</v>
      </c>
      <c r="P40" s="229" t="s">
        <v>187</v>
      </c>
      <c r="Q40" s="230" t="s">
        <v>186</v>
      </c>
      <c r="R40" s="63"/>
      <c r="S40" s="34" t="s">
        <v>230</v>
      </c>
    </row>
    <row r="41" spans="2:20" ht="30.75" hidden="1" customHeight="1">
      <c r="D41" s="111"/>
      <c r="E41" s="109"/>
      <c r="F41" s="111"/>
      <c r="G41" s="100">
        <f t="shared" si="4"/>
        <v>0</v>
      </c>
      <c r="H41" s="1"/>
      <c r="I41" s="40">
        <f t="shared" si="5"/>
        <v>0</v>
      </c>
      <c r="J41" s="49">
        <f t="shared" si="6"/>
        <v>0</v>
      </c>
      <c r="K41" s="4"/>
      <c r="L41" s="4"/>
      <c r="M41" s="242">
        <f t="shared" si="7"/>
        <v>0</v>
      </c>
      <c r="N41" s="231"/>
      <c r="O41" s="233">
        <v>104000</v>
      </c>
      <c r="P41" s="152" t="s">
        <v>187</v>
      </c>
      <c r="Q41" s="123" t="s">
        <v>188</v>
      </c>
      <c r="R41" s="63" t="s">
        <v>158</v>
      </c>
      <c r="S41" s="38" t="s">
        <v>83</v>
      </c>
    </row>
    <row r="42" spans="2:20" ht="30.75" hidden="1" customHeight="1">
      <c r="D42" s="111"/>
      <c r="E42" s="109"/>
      <c r="F42" s="111"/>
      <c r="G42" s="100">
        <f t="shared" si="4"/>
        <v>0</v>
      </c>
      <c r="H42" s="1"/>
      <c r="I42" s="40">
        <f t="shared" si="5"/>
        <v>0</v>
      </c>
      <c r="J42" s="49">
        <f t="shared" si="6"/>
        <v>0</v>
      </c>
      <c r="K42" s="4"/>
      <c r="L42" s="4"/>
      <c r="M42" s="242">
        <f t="shared" si="7"/>
        <v>0</v>
      </c>
      <c r="N42" s="231"/>
      <c r="O42" s="234">
        <v>259500</v>
      </c>
      <c r="P42" s="153" t="s">
        <v>187</v>
      </c>
      <c r="Q42" s="124" t="s">
        <v>189</v>
      </c>
      <c r="R42" s="63" t="s">
        <v>158</v>
      </c>
      <c r="S42" s="38" t="s">
        <v>180</v>
      </c>
    </row>
    <row r="43" spans="2:20" ht="30.75" hidden="1" customHeight="1">
      <c r="B43" s="259">
        <v>2000</v>
      </c>
      <c r="D43" s="111">
        <v>1897.39</v>
      </c>
      <c r="E43" s="109"/>
      <c r="F43" s="111"/>
      <c r="G43" s="100">
        <f t="shared" si="4"/>
        <v>1077511000</v>
      </c>
      <c r="H43" s="1">
        <f>1897+2200</f>
        <v>4097</v>
      </c>
      <c r="I43" s="40">
        <f t="shared" si="5"/>
        <v>827398000</v>
      </c>
      <c r="J43" s="49">
        <f t="shared" si="6"/>
        <v>3146</v>
      </c>
      <c r="K43" s="4"/>
      <c r="L43" s="4"/>
      <c r="M43" s="242">
        <f t="shared" si="7"/>
        <v>250113000</v>
      </c>
      <c r="N43" s="231">
        <v>951</v>
      </c>
      <c r="O43" s="235">
        <v>263000</v>
      </c>
      <c r="P43" s="154" t="s">
        <v>187</v>
      </c>
      <c r="Q43" s="125" t="s">
        <v>190</v>
      </c>
      <c r="R43" s="63" t="s">
        <v>158</v>
      </c>
      <c r="S43" s="38" t="s">
        <v>172</v>
      </c>
    </row>
    <row r="44" spans="2:20" ht="30.75" hidden="1" customHeight="1">
      <c r="B44" s="259">
        <v>2000</v>
      </c>
      <c r="D44" s="111">
        <v>1860.03</v>
      </c>
      <c r="E44" s="109"/>
      <c r="F44" s="111"/>
      <c r="G44" s="100">
        <f t="shared" si="4"/>
        <v>220458000</v>
      </c>
      <c r="H44" s="1">
        <f>1860+2200</f>
        <v>4060</v>
      </c>
      <c r="I44" s="40">
        <f t="shared" si="5"/>
        <v>168818700</v>
      </c>
      <c r="J44" s="49">
        <f t="shared" si="6"/>
        <v>3109</v>
      </c>
      <c r="K44" s="4"/>
      <c r="L44" s="4"/>
      <c r="M44" s="242">
        <f t="shared" si="7"/>
        <v>51639300</v>
      </c>
      <c r="N44" s="231">
        <v>951</v>
      </c>
      <c r="O44" s="236">
        <v>54300</v>
      </c>
      <c r="P44" s="155" t="s">
        <v>187</v>
      </c>
      <c r="Q44" s="126" t="s">
        <v>191</v>
      </c>
      <c r="R44" s="63" t="s">
        <v>158</v>
      </c>
      <c r="S44" s="38" t="s">
        <v>173</v>
      </c>
    </row>
    <row r="45" spans="2:20" ht="30.75" hidden="1" customHeight="1">
      <c r="B45" s="259">
        <v>1400</v>
      </c>
      <c r="D45" s="111">
        <v>1964.98</v>
      </c>
      <c r="E45" s="109"/>
      <c r="F45" s="111"/>
      <c r="G45" s="100">
        <f t="shared" si="4"/>
        <v>225388000</v>
      </c>
      <c r="H45" s="1">
        <f>1964+1400</f>
        <v>3364</v>
      </c>
      <c r="I45" s="40">
        <f t="shared" si="5"/>
        <v>134469000</v>
      </c>
      <c r="J45" s="49">
        <f t="shared" si="6"/>
        <v>2007</v>
      </c>
      <c r="K45" s="4"/>
      <c r="L45" s="4"/>
      <c r="M45" s="242">
        <f t="shared" si="7"/>
        <v>90919000</v>
      </c>
      <c r="N45" s="231">
        <v>1357</v>
      </c>
      <c r="O45" s="237">
        <v>67000</v>
      </c>
      <c r="P45" s="156" t="s">
        <v>82</v>
      </c>
      <c r="Q45" s="127" t="s">
        <v>215</v>
      </c>
      <c r="R45" s="63" t="s">
        <v>158</v>
      </c>
      <c r="S45" s="38" t="s">
        <v>214</v>
      </c>
    </row>
    <row r="46" spans="2:20" ht="30.75" hidden="1" customHeight="1">
      <c r="D46" s="111"/>
      <c r="E46" s="109"/>
      <c r="F46" s="111"/>
      <c r="G46" s="100">
        <f t="shared" si="4"/>
        <v>0</v>
      </c>
      <c r="H46" s="1"/>
      <c r="I46" s="40">
        <f t="shared" si="5"/>
        <v>0</v>
      </c>
      <c r="J46" s="49">
        <f t="shared" si="6"/>
        <v>0</v>
      </c>
      <c r="K46" s="4"/>
      <c r="L46" s="4"/>
      <c r="M46" s="242">
        <f t="shared" si="7"/>
        <v>0</v>
      </c>
      <c r="N46" s="231"/>
      <c r="O46" s="238">
        <v>24300</v>
      </c>
      <c r="P46" s="157" t="s">
        <v>187</v>
      </c>
      <c r="Q46" s="128" t="s">
        <v>192</v>
      </c>
      <c r="R46" s="63" t="s">
        <v>158</v>
      </c>
      <c r="S46" s="38" t="s">
        <v>174</v>
      </c>
    </row>
    <row r="47" spans="2:20" ht="30.75" hidden="1" customHeight="1">
      <c r="D47" s="111"/>
      <c r="E47" s="109"/>
      <c r="F47" s="111"/>
      <c r="G47" s="100">
        <f t="shared" si="4"/>
        <v>0</v>
      </c>
      <c r="H47" s="1"/>
      <c r="I47" s="40">
        <f t="shared" si="5"/>
        <v>0</v>
      </c>
      <c r="J47" s="49">
        <f t="shared" si="6"/>
        <v>0</v>
      </c>
      <c r="K47" s="4"/>
      <c r="L47" s="4"/>
      <c r="M47" s="242">
        <f t="shared" si="7"/>
        <v>0</v>
      </c>
      <c r="N47" s="231"/>
      <c r="O47" s="238">
        <v>664000</v>
      </c>
      <c r="P47" s="157" t="s">
        <v>187</v>
      </c>
      <c r="Q47" s="128" t="s">
        <v>261</v>
      </c>
      <c r="R47" s="63" t="s">
        <v>158</v>
      </c>
      <c r="S47" s="38" t="s">
        <v>260</v>
      </c>
    </row>
    <row r="48" spans="2:20" ht="30.75" hidden="1" customHeight="1">
      <c r="B48" s="259">
        <v>70</v>
      </c>
      <c r="D48" s="111"/>
      <c r="E48" s="109"/>
      <c r="F48" s="111"/>
      <c r="G48" s="100">
        <f t="shared" si="4"/>
        <v>2394000</v>
      </c>
      <c r="H48" s="1">
        <v>70</v>
      </c>
      <c r="I48" s="40">
        <f t="shared" si="5"/>
        <v>2394000</v>
      </c>
      <c r="J48" s="49">
        <f t="shared" si="6"/>
        <v>70</v>
      </c>
      <c r="K48" s="4"/>
      <c r="L48" s="4"/>
      <c r="M48" s="242">
        <f t="shared" si="7"/>
        <v>0</v>
      </c>
      <c r="N48" s="231"/>
      <c r="O48" s="238">
        <v>34200</v>
      </c>
      <c r="P48" s="157" t="s">
        <v>187</v>
      </c>
      <c r="Q48" s="262" t="s">
        <v>259</v>
      </c>
      <c r="R48" s="63" t="s">
        <v>158</v>
      </c>
      <c r="S48" s="38" t="s">
        <v>258</v>
      </c>
    </row>
    <row r="49" spans="2:20" ht="30.75" hidden="1" customHeight="1">
      <c r="D49" s="111">
        <v>328.27</v>
      </c>
      <c r="E49" s="109"/>
      <c r="F49" s="111"/>
      <c r="G49" s="100">
        <f t="shared" si="4"/>
        <v>9118400</v>
      </c>
      <c r="H49" s="1">
        <f>328</f>
        <v>328</v>
      </c>
      <c r="I49" s="40">
        <f t="shared" si="5"/>
        <v>3558400</v>
      </c>
      <c r="J49" s="49">
        <f t="shared" si="6"/>
        <v>128</v>
      </c>
      <c r="K49" s="4"/>
      <c r="L49" s="4"/>
      <c r="M49" s="242">
        <f t="shared" si="7"/>
        <v>5560000</v>
      </c>
      <c r="N49" s="231">
        <v>200</v>
      </c>
      <c r="O49" s="239">
        <v>27800</v>
      </c>
      <c r="P49" s="157" t="s">
        <v>187</v>
      </c>
      <c r="Q49" s="129" t="s">
        <v>194</v>
      </c>
      <c r="R49" s="63" t="s">
        <v>158</v>
      </c>
      <c r="S49" s="38" t="s">
        <v>175</v>
      </c>
    </row>
    <row r="50" spans="2:20" ht="30.75" hidden="1" customHeight="1">
      <c r="D50" s="111">
        <v>964.17</v>
      </c>
      <c r="E50" s="109"/>
      <c r="F50" s="111"/>
      <c r="G50" s="100">
        <f t="shared" si="4"/>
        <v>29787600</v>
      </c>
      <c r="H50" s="1">
        <v>964</v>
      </c>
      <c r="I50" s="40">
        <f t="shared" si="5"/>
        <v>2163000</v>
      </c>
      <c r="J50" s="49">
        <f t="shared" si="6"/>
        <v>70</v>
      </c>
      <c r="K50" s="4"/>
      <c r="L50" s="4"/>
      <c r="M50" s="242">
        <f t="shared" si="7"/>
        <v>27624600</v>
      </c>
      <c r="N50" s="231">
        <v>894</v>
      </c>
      <c r="O50" s="240">
        <v>30900</v>
      </c>
      <c r="P50" s="158" t="s">
        <v>82</v>
      </c>
      <c r="Q50" s="130" t="s">
        <v>193</v>
      </c>
      <c r="R50" s="63" t="s">
        <v>158</v>
      </c>
      <c r="S50" s="38" t="s">
        <v>176</v>
      </c>
    </row>
    <row r="51" spans="2:20" ht="30.75" hidden="1" customHeight="1">
      <c r="B51" s="259" t="s">
        <v>293</v>
      </c>
      <c r="C51" s="3" t="s">
        <v>289</v>
      </c>
      <c r="D51" s="110">
        <v>27261</v>
      </c>
      <c r="E51" s="109"/>
      <c r="F51" s="110"/>
      <c r="G51" s="100">
        <f t="shared" si="4"/>
        <v>55821780</v>
      </c>
      <c r="H51" s="1">
        <f>27261+700*9+2000*9*1.3</f>
        <v>56961</v>
      </c>
      <c r="I51" s="40">
        <f t="shared" si="5"/>
        <v>44388120</v>
      </c>
      <c r="J51" s="49">
        <f t="shared" si="6"/>
        <v>45294</v>
      </c>
      <c r="K51" s="4"/>
      <c r="L51" s="4"/>
      <c r="M51" s="242">
        <f t="shared" si="7"/>
        <v>11433660</v>
      </c>
      <c r="N51" s="231">
        <v>11667</v>
      </c>
      <c r="O51" s="241">
        <v>980</v>
      </c>
      <c r="P51" s="6" t="s">
        <v>44</v>
      </c>
      <c r="Q51" s="45" t="s">
        <v>84</v>
      </c>
      <c r="R51" s="63" t="s">
        <v>158</v>
      </c>
      <c r="S51" s="38" t="s">
        <v>85</v>
      </c>
    </row>
    <row r="52" spans="2:20" ht="30.75" hidden="1" customHeight="1">
      <c r="B52" s="259" t="s">
        <v>294</v>
      </c>
      <c r="C52" s="3" t="s">
        <v>290</v>
      </c>
      <c r="D52" s="110">
        <v>76580.14</v>
      </c>
      <c r="E52" s="109"/>
      <c r="F52" s="110"/>
      <c r="G52" s="100">
        <f t="shared" si="4"/>
        <v>127609100</v>
      </c>
      <c r="H52" s="1">
        <f>76580+700*20+2000*20*1.3</f>
        <v>142580</v>
      </c>
      <c r="I52" s="40">
        <f t="shared" si="5"/>
        <v>104405330</v>
      </c>
      <c r="J52" s="49">
        <f t="shared" si="6"/>
        <v>116654</v>
      </c>
      <c r="K52" s="4"/>
      <c r="L52" s="4"/>
      <c r="M52" s="242">
        <f t="shared" si="7"/>
        <v>23203770</v>
      </c>
      <c r="N52" s="231">
        <v>25926</v>
      </c>
      <c r="O52" s="241">
        <v>895</v>
      </c>
      <c r="P52" s="6" t="s">
        <v>44</v>
      </c>
      <c r="Q52" s="45" t="s">
        <v>181</v>
      </c>
      <c r="R52" s="63" t="s">
        <v>158</v>
      </c>
      <c r="S52" s="38" t="s">
        <v>128</v>
      </c>
    </row>
    <row r="53" spans="2:20" ht="30.75" hidden="1" customHeight="1">
      <c r="B53" s="259" t="s">
        <v>295</v>
      </c>
      <c r="D53" s="122">
        <v>53865.71</v>
      </c>
      <c r="E53" s="109"/>
      <c r="F53" s="122"/>
      <c r="G53" s="100">
        <f t="shared" si="4"/>
        <v>68257475</v>
      </c>
      <c r="H53" s="58">
        <f>53865+2000*16*1.3</f>
        <v>95465</v>
      </c>
      <c r="I53" s="40">
        <f t="shared" si="5"/>
        <v>54114060</v>
      </c>
      <c r="J53" s="49">
        <f t="shared" si="6"/>
        <v>75684</v>
      </c>
      <c r="K53" s="59"/>
      <c r="L53" s="59"/>
      <c r="M53" s="242">
        <f t="shared" si="7"/>
        <v>14143415</v>
      </c>
      <c r="N53" s="231">
        <v>19781</v>
      </c>
      <c r="O53" s="241">
        <v>715</v>
      </c>
      <c r="P53" s="6" t="s">
        <v>44</v>
      </c>
      <c r="Q53" s="45" t="s">
        <v>157</v>
      </c>
      <c r="R53" s="63" t="s">
        <v>158</v>
      </c>
      <c r="S53" s="61" t="s">
        <v>156</v>
      </c>
    </row>
    <row r="54" spans="2:20" ht="36.75" hidden="1" customHeight="1" thickBot="1">
      <c r="D54" s="131"/>
      <c r="F54" s="131"/>
      <c r="G54" s="397">
        <f>SUM(G39:G53)</f>
        <v>2045390155</v>
      </c>
      <c r="H54" s="398"/>
      <c r="I54" s="399">
        <f>SUM(I39:I53)</f>
        <v>1553046010</v>
      </c>
      <c r="J54" s="399"/>
      <c r="K54" s="411">
        <f>SUM(K41:K52)</f>
        <v>0</v>
      </c>
      <c r="L54" s="411"/>
      <c r="M54" s="411">
        <f>SUM(M39:M53)</f>
        <v>492344145</v>
      </c>
      <c r="N54" s="411"/>
      <c r="O54" s="133"/>
      <c r="P54" s="132"/>
      <c r="Q54" s="134" t="s">
        <v>86</v>
      </c>
      <c r="R54" s="8" t="s">
        <v>158</v>
      </c>
      <c r="S54" s="209"/>
      <c r="T54" s="29"/>
    </row>
    <row r="55" spans="2:20" ht="49.5" hidden="1" customHeight="1" thickBot="1">
      <c r="D55" s="89"/>
      <c r="F55" s="89"/>
      <c r="G55" s="102"/>
      <c r="H55" s="92"/>
      <c r="I55" s="93"/>
      <c r="J55" s="93"/>
      <c r="K55" s="92"/>
      <c r="L55" s="92"/>
      <c r="M55" s="102"/>
      <c r="N55" s="92"/>
      <c r="O55" s="107"/>
      <c r="P55" s="92"/>
      <c r="Q55" s="94"/>
      <c r="R55" s="69"/>
      <c r="S55" s="211"/>
      <c r="T55" s="29"/>
    </row>
    <row r="56" spans="2:20" ht="23.25" hidden="1" customHeight="1">
      <c r="D56" s="77"/>
      <c r="F56" s="173"/>
      <c r="G56" s="382" t="s">
        <v>300</v>
      </c>
      <c r="H56" s="382"/>
      <c r="I56" s="382" t="s">
        <v>145</v>
      </c>
      <c r="J56" s="382"/>
      <c r="K56" s="78"/>
      <c r="L56" s="78"/>
      <c r="M56" s="199"/>
      <c r="N56" s="78"/>
      <c r="O56" s="79"/>
      <c r="P56" s="78"/>
      <c r="Q56" s="80" t="s">
        <v>171</v>
      </c>
      <c r="R56" s="41"/>
      <c r="S56" s="219"/>
    </row>
    <row r="57" spans="2:20" ht="23.25" hidden="1" customHeight="1">
      <c r="D57" s="81"/>
      <c r="F57" s="174"/>
      <c r="G57" s="96"/>
      <c r="H57" s="82"/>
      <c r="I57" s="83"/>
      <c r="J57" s="143" t="s">
        <v>146</v>
      </c>
      <c r="K57" s="144"/>
      <c r="L57" s="144"/>
      <c r="M57" s="200"/>
      <c r="N57" s="144"/>
      <c r="O57" s="135"/>
      <c r="P57" s="144"/>
      <c r="Q57" s="84" t="s">
        <v>292</v>
      </c>
      <c r="R57" s="56"/>
      <c r="S57" s="175"/>
    </row>
    <row r="58" spans="2:20" ht="23.25" hidden="1" customHeight="1" thickBot="1">
      <c r="D58" s="85"/>
      <c r="F58" s="85"/>
      <c r="G58" s="145"/>
      <c r="H58" s="136"/>
      <c r="I58" s="146"/>
      <c r="J58" s="146"/>
      <c r="K58" s="136"/>
      <c r="L58" s="136"/>
      <c r="M58" s="145" t="s">
        <v>183</v>
      </c>
      <c r="N58" s="136"/>
      <c r="O58" s="136"/>
      <c r="P58" s="136"/>
      <c r="Q58" s="86" t="s">
        <v>195</v>
      </c>
      <c r="R58" s="42"/>
      <c r="S58" s="205"/>
    </row>
    <row r="59" spans="2:20" ht="25.5" hidden="1" customHeight="1">
      <c r="D59" s="385" t="s">
        <v>144</v>
      </c>
      <c r="F59" s="385" t="s">
        <v>144</v>
      </c>
      <c r="G59" s="406" t="s">
        <v>63</v>
      </c>
      <c r="H59" s="406"/>
      <c r="I59" s="409" t="s">
        <v>170</v>
      </c>
      <c r="J59" s="409"/>
      <c r="K59" s="401" t="s">
        <v>2</v>
      </c>
      <c r="L59" s="401"/>
      <c r="M59" s="401" t="s">
        <v>169</v>
      </c>
      <c r="N59" s="401"/>
      <c r="O59" s="426" t="s">
        <v>139</v>
      </c>
      <c r="P59" s="401" t="s">
        <v>1</v>
      </c>
      <c r="Q59" s="401" t="s">
        <v>138</v>
      </c>
      <c r="R59" s="62"/>
      <c r="S59" s="424" t="s">
        <v>0</v>
      </c>
    </row>
    <row r="60" spans="2:20" ht="25.5" hidden="1" customHeight="1">
      <c r="D60" s="386"/>
      <c r="F60" s="386"/>
      <c r="G60" s="97" t="s">
        <v>143</v>
      </c>
      <c r="H60" s="49" t="s">
        <v>142</v>
      </c>
      <c r="I60" s="49" t="s">
        <v>143</v>
      </c>
      <c r="J60" s="49" t="s">
        <v>142</v>
      </c>
      <c r="K60" s="1" t="s">
        <v>4</v>
      </c>
      <c r="L60" s="1" t="s">
        <v>3</v>
      </c>
      <c r="M60" s="100" t="s">
        <v>141</v>
      </c>
      <c r="N60" s="1" t="s">
        <v>140</v>
      </c>
      <c r="O60" s="427"/>
      <c r="P60" s="422"/>
      <c r="Q60" s="422"/>
      <c r="R60" s="2"/>
      <c r="S60" s="425"/>
    </row>
    <row r="61" spans="2:20" ht="34.5" hidden="1" customHeight="1">
      <c r="D61" s="35"/>
      <c r="F61" s="35"/>
      <c r="G61" s="100">
        <f>H61*O61</f>
        <v>0</v>
      </c>
      <c r="H61" s="1"/>
      <c r="I61" s="40">
        <f>J61*O61</f>
        <v>0</v>
      </c>
      <c r="J61" s="49">
        <f>H61-N61</f>
        <v>0</v>
      </c>
      <c r="K61" s="6"/>
      <c r="L61" s="4"/>
      <c r="M61" s="191"/>
      <c r="N61" s="4"/>
      <c r="O61" s="147">
        <v>25900</v>
      </c>
      <c r="P61" s="159" t="s">
        <v>82</v>
      </c>
      <c r="Q61" s="137" t="s">
        <v>196</v>
      </c>
      <c r="R61" s="63" t="s">
        <v>158</v>
      </c>
      <c r="S61" s="38" t="s">
        <v>177</v>
      </c>
      <c r="T61" s="29"/>
    </row>
    <row r="62" spans="2:20" ht="34.5" hidden="1" customHeight="1">
      <c r="D62" s="35"/>
      <c r="F62" s="35"/>
      <c r="G62" s="100">
        <f>H62*O62</f>
        <v>0</v>
      </c>
      <c r="H62" s="1"/>
      <c r="I62" s="40">
        <f>J62*O62</f>
        <v>0</v>
      </c>
      <c r="J62" s="49">
        <f>H62-N62</f>
        <v>0</v>
      </c>
      <c r="K62" s="6"/>
      <c r="L62" s="4"/>
      <c r="M62" s="191"/>
      <c r="N62" s="4"/>
      <c r="O62" s="148">
        <v>39700</v>
      </c>
      <c r="P62" s="160" t="s">
        <v>82</v>
      </c>
      <c r="Q62" s="138" t="s">
        <v>197</v>
      </c>
      <c r="R62" s="63" t="s">
        <v>158</v>
      </c>
      <c r="S62" s="38" t="s">
        <v>178</v>
      </c>
      <c r="T62" s="29"/>
    </row>
    <row r="63" spans="2:20" ht="34.5" hidden="1" customHeight="1">
      <c r="B63" s="259">
        <v>1613</v>
      </c>
      <c r="D63" s="35">
        <v>1964.98</v>
      </c>
      <c r="F63" s="35"/>
      <c r="G63" s="100">
        <f>H63*O63</f>
        <v>29689100</v>
      </c>
      <c r="H63" s="1">
        <f>1964+1613</f>
        <v>3577</v>
      </c>
      <c r="I63" s="40">
        <f>J63*O63</f>
        <v>18426000</v>
      </c>
      <c r="J63" s="49">
        <f>H63-N63</f>
        <v>2220</v>
      </c>
      <c r="K63" s="6"/>
      <c r="L63" s="4"/>
      <c r="M63" s="191">
        <f>N63*O63</f>
        <v>11263100</v>
      </c>
      <c r="N63" s="4">
        <v>1357</v>
      </c>
      <c r="O63" s="149">
        <v>8300</v>
      </c>
      <c r="P63" s="161" t="s">
        <v>82</v>
      </c>
      <c r="Q63" s="222" t="s">
        <v>217</v>
      </c>
      <c r="R63" s="63" t="s">
        <v>158</v>
      </c>
      <c r="S63" s="38" t="s">
        <v>216</v>
      </c>
      <c r="T63" s="29"/>
    </row>
    <row r="64" spans="2:20" ht="34.5" hidden="1" customHeight="1">
      <c r="D64" s="35">
        <v>333.12</v>
      </c>
      <c r="F64" s="35"/>
      <c r="G64" s="100">
        <f>H64*O64</f>
        <v>1698300</v>
      </c>
      <c r="H64" s="1">
        <v>333</v>
      </c>
      <c r="I64" s="40">
        <f>J64*O64</f>
        <v>234600</v>
      </c>
      <c r="J64" s="49">
        <f>H64-N64</f>
        <v>46</v>
      </c>
      <c r="K64" s="6"/>
      <c r="L64" s="4"/>
      <c r="M64" s="191">
        <f>N64*O64</f>
        <v>1463700</v>
      </c>
      <c r="N64" s="4">
        <v>287</v>
      </c>
      <c r="O64" s="150">
        <v>5100</v>
      </c>
      <c r="P64" s="162" t="s">
        <v>82</v>
      </c>
      <c r="Q64" s="139" t="s">
        <v>198</v>
      </c>
      <c r="R64" s="63" t="s">
        <v>158</v>
      </c>
      <c r="S64" s="38" t="s">
        <v>179</v>
      </c>
      <c r="T64" s="29"/>
    </row>
    <row r="65" spans="2:20" ht="33.75" hidden="1" customHeight="1" thickBot="1">
      <c r="D65" s="21"/>
      <c r="F65" s="21"/>
      <c r="G65" s="395">
        <f>SUM(G61:G64)</f>
        <v>31387400</v>
      </c>
      <c r="H65" s="396"/>
      <c r="I65" s="416">
        <f>SUM(I61:I64)</f>
        <v>18660600</v>
      </c>
      <c r="J65" s="417"/>
      <c r="K65" s="8">
        <f>L65*O65</f>
        <v>0</v>
      </c>
      <c r="L65" s="15"/>
      <c r="M65" s="418">
        <f>SUM(M63:M64)</f>
        <v>12726800</v>
      </c>
      <c r="N65" s="419"/>
      <c r="O65" s="23"/>
      <c r="P65" s="8"/>
      <c r="Q65" s="134" t="s">
        <v>199</v>
      </c>
      <c r="R65" s="120" t="s">
        <v>158</v>
      </c>
      <c r="S65" s="121"/>
      <c r="T65" s="29"/>
    </row>
    <row r="66" spans="2:20" ht="25.5" hidden="1" customHeight="1" thickBot="1">
      <c r="D66" s="85"/>
      <c r="F66" s="85"/>
      <c r="G66" s="145"/>
      <c r="H66" s="136"/>
      <c r="I66" s="146"/>
      <c r="J66" s="146"/>
      <c r="K66" s="136"/>
      <c r="L66" s="136"/>
      <c r="M66" s="145" t="s">
        <v>183</v>
      </c>
      <c r="N66" s="136"/>
      <c r="O66" s="136"/>
      <c r="P66" s="136"/>
      <c r="Q66" s="86" t="s">
        <v>200</v>
      </c>
      <c r="R66" s="42"/>
      <c r="S66" s="205"/>
    </row>
    <row r="67" spans="2:20" ht="30" hidden="1" customHeight="1">
      <c r="B67" s="259" t="s">
        <v>262</v>
      </c>
      <c r="C67" s="3">
        <v>300</v>
      </c>
      <c r="D67" s="91">
        <v>184.4</v>
      </c>
      <c r="F67" s="91"/>
      <c r="G67" s="141">
        <f>H67*O67</f>
        <v>50483200</v>
      </c>
      <c r="H67" s="49">
        <f>184+300+540</f>
        <v>1024</v>
      </c>
      <c r="I67" s="40">
        <f>J67*O67</f>
        <v>39144200</v>
      </c>
      <c r="J67" s="49">
        <f>H67-N67</f>
        <v>794</v>
      </c>
      <c r="K67" s="1"/>
      <c r="L67" s="1"/>
      <c r="M67" s="243">
        <f>N67*O67</f>
        <v>11339000</v>
      </c>
      <c r="N67" s="244">
        <v>230</v>
      </c>
      <c r="O67" s="151">
        <v>49300</v>
      </c>
      <c r="P67" s="163" t="s">
        <v>82</v>
      </c>
      <c r="Q67" s="140" t="s">
        <v>201</v>
      </c>
      <c r="R67" s="63" t="s">
        <v>158</v>
      </c>
      <c r="S67" s="212">
        <v>80101</v>
      </c>
    </row>
    <row r="68" spans="2:20" ht="33" hidden="1" customHeight="1">
      <c r="C68" s="3">
        <v>30</v>
      </c>
      <c r="D68" s="20"/>
      <c r="F68" s="20"/>
      <c r="G68" s="141">
        <f t="shared" ref="G68:G77" si="8">H68*O68</f>
        <v>2082000</v>
      </c>
      <c r="H68" s="1">
        <v>30</v>
      </c>
      <c r="I68" s="40">
        <f t="shared" ref="I68:I77" si="9">J68*O68</f>
        <v>2082000</v>
      </c>
      <c r="J68" s="49">
        <f t="shared" ref="J68:J77" si="10">H68-N68</f>
        <v>30</v>
      </c>
      <c r="K68" s="6"/>
      <c r="L68" s="4"/>
      <c r="M68" s="243">
        <f t="shared" ref="M68:M77" si="11">N68*O68</f>
        <v>0</v>
      </c>
      <c r="N68" s="245"/>
      <c r="O68" s="246">
        <v>69400</v>
      </c>
      <c r="P68" s="6" t="s">
        <v>36</v>
      </c>
      <c r="Q68" s="45" t="s">
        <v>203</v>
      </c>
      <c r="R68" s="63" t="s">
        <v>158</v>
      </c>
      <c r="S68" s="38" t="s">
        <v>114</v>
      </c>
    </row>
    <row r="69" spans="2:20" ht="33" hidden="1" customHeight="1">
      <c r="C69" s="3">
        <v>100</v>
      </c>
      <c r="D69" s="20"/>
      <c r="F69" s="20"/>
      <c r="G69" s="141">
        <f t="shared" si="8"/>
        <v>9650000</v>
      </c>
      <c r="H69" s="1">
        <v>100</v>
      </c>
      <c r="I69" s="40">
        <f t="shared" si="9"/>
        <v>-59830000</v>
      </c>
      <c r="J69" s="49">
        <f t="shared" si="10"/>
        <v>-620</v>
      </c>
      <c r="K69" s="6"/>
      <c r="L69" s="4"/>
      <c r="M69" s="243">
        <f t="shared" si="11"/>
        <v>69480000</v>
      </c>
      <c r="N69" s="245">
        <v>720</v>
      </c>
      <c r="O69" s="246">
        <v>96500</v>
      </c>
      <c r="P69" s="6" t="s">
        <v>36</v>
      </c>
      <c r="Q69" s="45" t="s">
        <v>104</v>
      </c>
      <c r="R69" s="63" t="s">
        <v>158</v>
      </c>
      <c r="S69" s="38" t="s">
        <v>103</v>
      </c>
    </row>
    <row r="70" spans="2:20" ht="33" hidden="1" customHeight="1">
      <c r="C70" s="266">
        <v>600</v>
      </c>
      <c r="D70" s="20"/>
      <c r="F70" s="20"/>
      <c r="G70" s="141">
        <f t="shared" si="8"/>
        <v>53750000</v>
      </c>
      <c r="H70" s="1">
        <v>500</v>
      </c>
      <c r="I70" s="40">
        <f t="shared" si="9"/>
        <v>53750000</v>
      </c>
      <c r="J70" s="49">
        <f t="shared" si="10"/>
        <v>500</v>
      </c>
      <c r="K70" s="6"/>
      <c r="L70" s="4"/>
      <c r="M70" s="243">
        <f t="shared" si="11"/>
        <v>0</v>
      </c>
      <c r="N70" s="245"/>
      <c r="O70" s="246">
        <v>107500</v>
      </c>
      <c r="P70" s="6" t="s">
        <v>36</v>
      </c>
      <c r="Q70" s="45" t="s">
        <v>130</v>
      </c>
      <c r="R70" s="63" t="s">
        <v>158</v>
      </c>
      <c r="S70" s="38" t="s">
        <v>129</v>
      </c>
    </row>
    <row r="71" spans="2:20" ht="33" hidden="1" customHeight="1">
      <c r="C71" s="266">
        <v>470</v>
      </c>
      <c r="D71" s="20"/>
      <c r="F71" s="20"/>
      <c r="G71" s="141">
        <f t="shared" si="8"/>
        <v>42000000</v>
      </c>
      <c r="H71" s="1">
        <v>350</v>
      </c>
      <c r="I71" s="40">
        <f t="shared" si="9"/>
        <v>42000000</v>
      </c>
      <c r="J71" s="49">
        <f t="shared" si="10"/>
        <v>350</v>
      </c>
      <c r="K71" s="6"/>
      <c r="L71" s="4"/>
      <c r="M71" s="243">
        <f t="shared" si="11"/>
        <v>0</v>
      </c>
      <c r="N71" s="245"/>
      <c r="O71" s="246">
        <v>120000</v>
      </c>
      <c r="P71" s="6" t="s">
        <v>36</v>
      </c>
      <c r="Q71" s="45" t="s">
        <v>116</v>
      </c>
      <c r="R71" s="63" t="s">
        <v>158</v>
      </c>
      <c r="S71" s="38" t="s">
        <v>115</v>
      </c>
    </row>
    <row r="72" spans="2:20" ht="33" hidden="1" customHeight="1">
      <c r="D72" s="20">
        <v>1521.75</v>
      </c>
      <c r="F72" s="20"/>
      <c r="G72" s="141">
        <f t="shared" si="8"/>
        <v>238036500</v>
      </c>
      <c r="H72" s="1">
        <v>1521</v>
      </c>
      <c r="I72" s="40">
        <f t="shared" si="9"/>
        <v>-5164500</v>
      </c>
      <c r="J72" s="49">
        <f t="shared" si="10"/>
        <v>-33</v>
      </c>
      <c r="K72" s="6"/>
      <c r="L72" s="4"/>
      <c r="M72" s="243">
        <f t="shared" si="11"/>
        <v>243201000</v>
      </c>
      <c r="N72" s="245">
        <v>1554</v>
      </c>
      <c r="O72" s="246">
        <v>156500</v>
      </c>
      <c r="P72" s="6" t="s">
        <v>36</v>
      </c>
      <c r="Q72" s="45" t="s">
        <v>232</v>
      </c>
      <c r="R72" s="63" t="s">
        <v>158</v>
      </c>
      <c r="S72" s="38" t="s">
        <v>231</v>
      </c>
    </row>
    <row r="73" spans="2:20" ht="33" hidden="1" customHeight="1">
      <c r="D73" s="20"/>
      <c r="F73" s="20"/>
      <c r="G73" s="141">
        <f t="shared" si="8"/>
        <v>0</v>
      </c>
      <c r="H73" s="1"/>
      <c r="I73" s="40">
        <f t="shared" si="9"/>
        <v>0</v>
      </c>
      <c r="J73" s="49">
        <f t="shared" si="10"/>
        <v>0</v>
      </c>
      <c r="K73" s="6"/>
      <c r="L73" s="4"/>
      <c r="M73" s="243">
        <f t="shared" si="11"/>
        <v>0</v>
      </c>
      <c r="N73" s="245"/>
      <c r="O73" s="246">
        <v>37500</v>
      </c>
      <c r="P73" s="6" t="s">
        <v>36</v>
      </c>
      <c r="Q73" s="45" t="s">
        <v>147</v>
      </c>
      <c r="R73" s="63" t="s">
        <v>158</v>
      </c>
      <c r="S73" s="36" t="s">
        <v>132</v>
      </c>
    </row>
    <row r="74" spans="2:20" ht="33" hidden="1" customHeight="1">
      <c r="D74" s="20"/>
      <c r="F74" s="20"/>
      <c r="G74" s="141">
        <f t="shared" si="8"/>
        <v>0</v>
      </c>
      <c r="H74" s="1"/>
      <c r="I74" s="40">
        <f t="shared" si="9"/>
        <v>0</v>
      </c>
      <c r="J74" s="49">
        <f t="shared" si="10"/>
        <v>0</v>
      </c>
      <c r="K74" s="6"/>
      <c r="L74" s="4"/>
      <c r="M74" s="243">
        <f t="shared" si="11"/>
        <v>0</v>
      </c>
      <c r="N74" s="245"/>
      <c r="O74" s="246">
        <v>32400</v>
      </c>
      <c r="P74" s="6" t="s">
        <v>36</v>
      </c>
      <c r="Q74" s="45" t="s">
        <v>133</v>
      </c>
      <c r="R74" s="63" t="s">
        <v>158</v>
      </c>
      <c r="S74" s="36" t="s">
        <v>131</v>
      </c>
    </row>
    <row r="75" spans="2:20" ht="33" hidden="1" customHeight="1">
      <c r="D75" s="20"/>
      <c r="F75" s="20"/>
      <c r="G75" s="141">
        <f t="shared" si="8"/>
        <v>0</v>
      </c>
      <c r="H75" s="1"/>
      <c r="I75" s="40">
        <f t="shared" si="9"/>
        <v>0</v>
      </c>
      <c r="J75" s="49">
        <f t="shared" si="10"/>
        <v>0</v>
      </c>
      <c r="K75" s="6"/>
      <c r="L75" s="4"/>
      <c r="M75" s="243">
        <f t="shared" si="11"/>
        <v>0</v>
      </c>
      <c r="N75" s="245"/>
      <c r="O75" s="246">
        <v>13400</v>
      </c>
      <c r="P75" s="6" t="s">
        <v>36</v>
      </c>
      <c r="Q75" s="46" t="s">
        <v>90</v>
      </c>
      <c r="R75" s="63" t="s">
        <v>158</v>
      </c>
      <c r="S75" s="36" t="s">
        <v>88</v>
      </c>
    </row>
    <row r="76" spans="2:20" ht="33" hidden="1" customHeight="1">
      <c r="B76" s="259">
        <v>5520</v>
      </c>
      <c r="C76" s="3">
        <v>3500</v>
      </c>
      <c r="D76" s="20">
        <v>7547.5</v>
      </c>
      <c r="F76" s="20"/>
      <c r="G76" s="141">
        <f t="shared" si="8"/>
        <v>88799120</v>
      </c>
      <c r="H76" s="1">
        <f>7547+3500+5520</f>
        <v>16567</v>
      </c>
      <c r="I76" s="40">
        <f t="shared" si="9"/>
        <v>84484320</v>
      </c>
      <c r="J76" s="49">
        <f t="shared" si="10"/>
        <v>15762</v>
      </c>
      <c r="K76" s="6"/>
      <c r="L76" s="4"/>
      <c r="M76" s="243">
        <f t="shared" si="11"/>
        <v>4314800</v>
      </c>
      <c r="N76" s="245">
        <v>805</v>
      </c>
      <c r="O76" s="246">
        <v>5360</v>
      </c>
      <c r="P76" s="4" t="s">
        <v>47</v>
      </c>
      <c r="Q76" s="46" t="s">
        <v>46</v>
      </c>
      <c r="R76" s="63" t="s">
        <v>158</v>
      </c>
      <c r="S76" s="36" t="s">
        <v>45</v>
      </c>
    </row>
    <row r="77" spans="2:20" ht="33" hidden="1" customHeight="1">
      <c r="C77" s="3">
        <v>300</v>
      </c>
      <c r="D77" s="20"/>
      <c r="F77" s="20"/>
      <c r="G77" s="141">
        <f t="shared" si="8"/>
        <v>18960000</v>
      </c>
      <c r="H77" s="1">
        <v>300</v>
      </c>
      <c r="I77" s="40">
        <f t="shared" si="9"/>
        <v>18960000</v>
      </c>
      <c r="J77" s="49">
        <f t="shared" si="10"/>
        <v>300</v>
      </c>
      <c r="K77" s="6"/>
      <c r="L77" s="4"/>
      <c r="M77" s="243">
        <f t="shared" si="11"/>
        <v>0</v>
      </c>
      <c r="N77" s="245"/>
      <c r="O77" s="246">
        <v>63200</v>
      </c>
      <c r="P77" s="6" t="s">
        <v>36</v>
      </c>
      <c r="Q77" s="46" t="s">
        <v>87</v>
      </c>
      <c r="R77" s="63" t="s">
        <v>158</v>
      </c>
      <c r="S77" s="36" t="s">
        <v>89</v>
      </c>
    </row>
    <row r="78" spans="2:20" ht="33" hidden="1" customHeight="1" thickBot="1">
      <c r="D78" s="142"/>
      <c r="F78" s="142"/>
      <c r="G78" s="412">
        <f>SUM(G67:G77)</f>
        <v>503760820</v>
      </c>
      <c r="H78" s="413"/>
      <c r="I78" s="399">
        <f>SUM(I67:I77)</f>
        <v>175426020</v>
      </c>
      <c r="J78" s="399"/>
      <c r="K78" s="411">
        <f>SUM(K66:K77)</f>
        <v>0</v>
      </c>
      <c r="L78" s="411"/>
      <c r="M78" s="411">
        <f>SUM(M67:M77)</f>
        <v>328334800</v>
      </c>
      <c r="N78" s="411"/>
      <c r="O78" s="133"/>
      <c r="P78" s="132"/>
      <c r="Q78" s="132" t="s">
        <v>6</v>
      </c>
      <c r="R78" s="8"/>
      <c r="S78" s="209"/>
    </row>
    <row r="79" spans="2:20" ht="49.5" hidden="1" customHeight="1" thickBot="1">
      <c r="D79" s="13"/>
      <c r="F79" s="13"/>
      <c r="G79" s="99"/>
      <c r="H79" s="37"/>
      <c r="I79" s="50"/>
      <c r="J79" s="50"/>
      <c r="K79" s="37"/>
      <c r="L79" s="37"/>
      <c r="M79" s="99"/>
      <c r="N79" s="37"/>
      <c r="O79" s="24"/>
      <c r="P79" s="9"/>
      <c r="Q79" s="9"/>
      <c r="R79" s="70"/>
      <c r="S79" s="208"/>
    </row>
    <row r="80" spans="2:20" ht="25.5" hidden="1" customHeight="1">
      <c r="D80" s="77"/>
      <c r="F80" s="173"/>
      <c r="G80" s="382" t="s">
        <v>300</v>
      </c>
      <c r="H80" s="382"/>
      <c r="I80" s="382" t="s">
        <v>145</v>
      </c>
      <c r="J80" s="382"/>
      <c r="K80" s="78"/>
      <c r="L80" s="78"/>
      <c r="M80" s="199"/>
      <c r="N80" s="78"/>
      <c r="O80" s="79"/>
      <c r="P80" s="78"/>
      <c r="Q80" s="80" t="s">
        <v>171</v>
      </c>
      <c r="R80" s="41"/>
      <c r="S80" s="219"/>
    </row>
    <row r="81" spans="2:20" ht="25.5" hidden="1" customHeight="1">
      <c r="D81" s="81"/>
      <c r="F81" s="174"/>
      <c r="G81" s="96"/>
      <c r="H81" s="82"/>
      <c r="I81" s="83"/>
      <c r="J81" s="143" t="s">
        <v>146</v>
      </c>
      <c r="K81" s="144"/>
      <c r="L81" s="144"/>
      <c r="M81" s="200"/>
      <c r="N81" s="144"/>
      <c r="O81" s="135"/>
      <c r="P81" s="144"/>
      <c r="Q81" s="84" t="s">
        <v>292</v>
      </c>
      <c r="R81" s="56"/>
      <c r="S81" s="175"/>
    </row>
    <row r="82" spans="2:20" ht="25.5" hidden="1" customHeight="1" thickBot="1">
      <c r="D82" s="85"/>
      <c r="F82" s="85"/>
      <c r="G82" s="145"/>
      <c r="H82" s="136"/>
      <c r="I82" s="146"/>
      <c r="J82" s="146"/>
      <c r="K82" s="136"/>
      <c r="L82" s="136"/>
      <c r="M82" s="145" t="s">
        <v>183</v>
      </c>
      <c r="N82" s="136"/>
      <c r="O82" s="136"/>
      <c r="P82" s="136"/>
      <c r="Q82" s="86" t="s">
        <v>202</v>
      </c>
      <c r="R82" s="42"/>
      <c r="S82" s="205"/>
    </row>
    <row r="83" spans="2:20" ht="30" hidden="1" customHeight="1">
      <c r="D83" s="385" t="s">
        <v>144</v>
      </c>
      <c r="F83" s="385"/>
      <c r="G83" s="406" t="s">
        <v>63</v>
      </c>
      <c r="H83" s="406"/>
      <c r="I83" s="409" t="s">
        <v>170</v>
      </c>
      <c r="J83" s="409"/>
      <c r="K83" s="401" t="s">
        <v>2</v>
      </c>
      <c r="L83" s="401"/>
      <c r="M83" s="401" t="s">
        <v>169</v>
      </c>
      <c r="N83" s="401"/>
      <c r="O83" s="426" t="s">
        <v>139</v>
      </c>
      <c r="P83" s="401" t="s">
        <v>1</v>
      </c>
      <c r="Q83" s="401" t="s">
        <v>138</v>
      </c>
      <c r="R83" s="63"/>
      <c r="S83" s="424" t="s">
        <v>0</v>
      </c>
    </row>
    <row r="84" spans="2:20" ht="30" hidden="1" customHeight="1">
      <c r="D84" s="386"/>
      <c r="F84" s="386"/>
      <c r="G84" s="97" t="s">
        <v>143</v>
      </c>
      <c r="H84" s="49" t="s">
        <v>142</v>
      </c>
      <c r="I84" s="49" t="s">
        <v>143</v>
      </c>
      <c r="J84" s="49" t="s">
        <v>142</v>
      </c>
      <c r="K84" s="1" t="s">
        <v>4</v>
      </c>
      <c r="L84" s="1" t="s">
        <v>3</v>
      </c>
      <c r="M84" s="100" t="s">
        <v>141</v>
      </c>
      <c r="N84" s="1" t="s">
        <v>140</v>
      </c>
      <c r="O84" s="427"/>
      <c r="P84" s="422"/>
      <c r="Q84" s="422"/>
      <c r="R84" s="63"/>
      <c r="S84" s="425"/>
    </row>
    <row r="85" spans="2:20" ht="31.5" hidden="1" customHeight="1">
      <c r="D85" s="20">
        <v>7265</v>
      </c>
      <c r="F85" s="20"/>
      <c r="G85" s="100">
        <f>H85*O85</f>
        <v>58410600</v>
      </c>
      <c r="H85" s="1">
        <v>7265</v>
      </c>
      <c r="I85" s="40">
        <f>J85*O85</f>
        <v>3770760</v>
      </c>
      <c r="J85" s="49">
        <f>H85-N85</f>
        <v>469</v>
      </c>
      <c r="K85" s="4"/>
      <c r="L85" s="4"/>
      <c r="M85" s="191">
        <f>N85*O85</f>
        <v>54639840</v>
      </c>
      <c r="N85" s="4">
        <v>6796</v>
      </c>
      <c r="O85" s="22">
        <v>8040</v>
      </c>
      <c r="P85" s="4" t="s">
        <v>48</v>
      </c>
      <c r="Q85" s="6" t="s">
        <v>94</v>
      </c>
      <c r="R85" s="63" t="s">
        <v>158</v>
      </c>
      <c r="S85" s="36" t="s">
        <v>91</v>
      </c>
    </row>
    <row r="86" spans="2:20" ht="31.5" hidden="1" customHeight="1">
      <c r="D86" s="20">
        <v>53957.8</v>
      </c>
      <c r="F86" s="20"/>
      <c r="G86" s="100">
        <f>H86*O86</f>
        <v>349637805.00666648</v>
      </c>
      <c r="H86" s="267">
        <v>54974.497642557624</v>
      </c>
      <c r="I86" s="40">
        <f>J86*O86</f>
        <v>17779365.006666489</v>
      </c>
      <c r="J86" s="49">
        <f>H86-N86</f>
        <v>2795.4976425576242</v>
      </c>
      <c r="K86" s="4"/>
      <c r="L86" s="4"/>
      <c r="M86" s="191">
        <f>N86*O86</f>
        <v>331858440</v>
      </c>
      <c r="N86" s="4">
        <v>52179</v>
      </c>
      <c r="O86" s="22">
        <v>6360</v>
      </c>
      <c r="P86" s="4" t="s">
        <v>48</v>
      </c>
      <c r="Q86" s="6" t="s">
        <v>95</v>
      </c>
      <c r="R86" s="63" t="s">
        <v>158</v>
      </c>
      <c r="S86" s="36" t="s">
        <v>92</v>
      </c>
    </row>
    <row r="87" spans="2:20" ht="31.5" hidden="1" customHeight="1">
      <c r="B87" s="259" t="s">
        <v>263</v>
      </c>
      <c r="D87" s="20">
        <v>27030.59</v>
      </c>
      <c r="F87" s="20"/>
      <c r="G87" s="100">
        <f>H87*O87</f>
        <v>171782280</v>
      </c>
      <c r="H87" s="223">
        <v>28069</v>
      </c>
      <c r="I87" s="40">
        <f>J87*O87</f>
        <v>171782280</v>
      </c>
      <c r="J87" s="49">
        <f>H87-N87</f>
        <v>28069</v>
      </c>
      <c r="K87" s="4"/>
      <c r="L87" s="4"/>
      <c r="M87" s="191">
        <f>N87*O87</f>
        <v>0</v>
      </c>
      <c r="N87" s="4"/>
      <c r="O87" s="22">
        <v>6120</v>
      </c>
      <c r="P87" s="4" t="s">
        <v>48</v>
      </c>
      <c r="Q87" s="4" t="s">
        <v>96</v>
      </c>
      <c r="R87" s="63" t="s">
        <v>158</v>
      </c>
      <c r="S87" s="36" t="s">
        <v>93</v>
      </c>
    </row>
    <row r="88" spans="2:20" ht="31.5" hidden="1" customHeight="1">
      <c r="D88" s="20"/>
      <c r="F88" s="20"/>
      <c r="G88" s="100">
        <f>H88*O88</f>
        <v>0</v>
      </c>
      <c r="H88" s="1"/>
      <c r="I88" s="40">
        <f>J88*O88</f>
        <v>0</v>
      </c>
      <c r="J88" s="49">
        <f>H88-N88</f>
        <v>0</v>
      </c>
      <c r="K88" s="4"/>
      <c r="L88" s="4"/>
      <c r="M88" s="191">
        <f>N88*O88</f>
        <v>0</v>
      </c>
      <c r="N88" s="4"/>
      <c r="O88" s="22">
        <v>325</v>
      </c>
      <c r="P88" s="4" t="s">
        <v>48</v>
      </c>
      <c r="Q88" s="4" t="s">
        <v>118</v>
      </c>
      <c r="R88" s="63" t="s">
        <v>158</v>
      </c>
      <c r="S88" s="36" t="s">
        <v>117</v>
      </c>
    </row>
    <row r="89" spans="2:20" ht="31.5" hidden="1" customHeight="1">
      <c r="D89" s="20"/>
      <c r="F89" s="20"/>
      <c r="G89" s="100">
        <f>H89*O89</f>
        <v>0</v>
      </c>
      <c r="H89" s="1"/>
      <c r="I89" s="40">
        <f>J89*O89</f>
        <v>0</v>
      </c>
      <c r="J89" s="49">
        <f>H89-N89</f>
        <v>0</v>
      </c>
      <c r="K89" s="4"/>
      <c r="L89" s="4"/>
      <c r="M89" s="191">
        <f>N89*O89</f>
        <v>0</v>
      </c>
      <c r="N89" s="4"/>
      <c r="O89" s="22">
        <v>12600</v>
      </c>
      <c r="P89" s="4" t="s">
        <v>48</v>
      </c>
      <c r="Q89" s="45" t="s">
        <v>135</v>
      </c>
      <c r="R89" s="63" t="s">
        <v>158</v>
      </c>
      <c r="S89" s="36" t="s">
        <v>134</v>
      </c>
    </row>
    <row r="90" spans="2:20" ht="31.5" hidden="1" customHeight="1" thickBot="1">
      <c r="D90" s="57"/>
      <c r="F90" s="57"/>
      <c r="G90" s="414">
        <f>SUM(G85:G89)</f>
        <v>579830685.00666642</v>
      </c>
      <c r="H90" s="415"/>
      <c r="I90" s="430">
        <f>SUM(I85:I89)</f>
        <v>193332405.00666648</v>
      </c>
      <c r="J90" s="430"/>
      <c r="K90" s="423">
        <f>SUM(K85:K89)</f>
        <v>0</v>
      </c>
      <c r="L90" s="423"/>
      <c r="M90" s="423">
        <f>SUM(M85:M89)</f>
        <v>386498280</v>
      </c>
      <c r="N90" s="423"/>
      <c r="O90" s="423"/>
      <c r="P90" s="423"/>
      <c r="Q90" s="164" t="s">
        <v>7</v>
      </c>
      <c r="R90" s="165"/>
      <c r="S90" s="213"/>
    </row>
    <row r="91" spans="2:20" ht="27.75" hidden="1" customHeight="1">
      <c r="D91" s="186"/>
      <c r="F91" s="186"/>
      <c r="G91" s="187"/>
      <c r="H91" s="188"/>
      <c r="I91" s="189"/>
      <c r="J91" s="189"/>
      <c r="K91" s="188"/>
      <c r="L91" s="188"/>
      <c r="M91" s="201" t="s">
        <v>183</v>
      </c>
      <c r="N91" s="188"/>
      <c r="O91" s="190"/>
      <c r="P91" s="188"/>
      <c r="Q91" s="188" t="s">
        <v>8</v>
      </c>
      <c r="R91" s="188"/>
      <c r="S91" s="215"/>
    </row>
    <row r="92" spans="2:20" ht="28.5" hidden="1" customHeight="1">
      <c r="D92" s="5">
        <v>650</v>
      </c>
      <c r="F92" s="5"/>
      <c r="G92" s="191">
        <f>H92*O92</f>
        <v>11505000</v>
      </c>
      <c r="H92" s="1">
        <v>650</v>
      </c>
      <c r="I92" s="40">
        <f>J92*O92</f>
        <v>11505000</v>
      </c>
      <c r="J92" s="49">
        <f>H92-N92</f>
        <v>650</v>
      </c>
      <c r="K92" s="6"/>
      <c r="L92" s="4"/>
      <c r="M92" s="191"/>
      <c r="N92" s="4"/>
      <c r="O92" s="22">
        <v>17700</v>
      </c>
      <c r="P92" s="6" t="s">
        <v>48</v>
      </c>
      <c r="Q92" s="45" t="s">
        <v>250</v>
      </c>
      <c r="R92" s="6" t="s">
        <v>158</v>
      </c>
      <c r="S92" s="34" t="s">
        <v>249</v>
      </c>
    </row>
    <row r="93" spans="2:20" ht="28.5" hidden="1" customHeight="1">
      <c r="D93" s="5"/>
      <c r="F93" s="5"/>
      <c r="G93" s="191">
        <f>H93*O93</f>
        <v>0</v>
      </c>
      <c r="H93" s="1"/>
      <c r="I93" s="40">
        <f>J93*O93</f>
        <v>0</v>
      </c>
      <c r="J93" s="49">
        <f>H93-N93</f>
        <v>0</v>
      </c>
      <c r="K93" s="6"/>
      <c r="L93" s="4"/>
      <c r="M93" s="191"/>
      <c r="N93" s="4"/>
      <c r="O93" s="22">
        <v>12500</v>
      </c>
      <c r="P93" s="6" t="s">
        <v>48</v>
      </c>
      <c r="Q93" s="45" t="s">
        <v>119</v>
      </c>
      <c r="R93" s="6" t="s">
        <v>158</v>
      </c>
      <c r="S93" s="207">
        <v>110301</v>
      </c>
      <c r="T93" s="27"/>
    </row>
    <row r="94" spans="2:20" ht="28.5" hidden="1" customHeight="1" thickBot="1">
      <c r="D94" s="185">
        <v>1220</v>
      </c>
      <c r="F94" s="185"/>
      <c r="G94" s="191">
        <f>H94*O94</f>
        <v>54900000</v>
      </c>
      <c r="H94" s="43">
        <v>1220</v>
      </c>
      <c r="I94" s="40">
        <f>J94*O94</f>
        <v>900000</v>
      </c>
      <c r="J94" s="49">
        <f>H94-N94</f>
        <v>20</v>
      </c>
      <c r="K94" s="8"/>
      <c r="L94" s="15"/>
      <c r="M94" s="197">
        <f>N94*O94</f>
        <v>54000000</v>
      </c>
      <c r="N94" s="15">
        <v>1200</v>
      </c>
      <c r="O94" s="23">
        <v>45000</v>
      </c>
      <c r="P94" s="8" t="s">
        <v>48</v>
      </c>
      <c r="Q94" s="198" t="s">
        <v>233</v>
      </c>
      <c r="R94" s="8" t="s">
        <v>159</v>
      </c>
      <c r="S94" s="209">
        <v>110304</v>
      </c>
      <c r="T94" s="27"/>
    </row>
    <row r="95" spans="2:20" ht="28.5" hidden="1" customHeight="1" thickBot="1">
      <c r="D95" s="193"/>
      <c r="F95" s="193"/>
      <c r="G95" s="404">
        <f>SUM(G92:G94)</f>
        <v>66405000</v>
      </c>
      <c r="H95" s="405"/>
      <c r="I95" s="410">
        <f>SUM(I92:I94)</f>
        <v>12405000</v>
      </c>
      <c r="J95" s="410"/>
      <c r="K95" s="431">
        <f>SUM(K92:K94)</f>
        <v>0</v>
      </c>
      <c r="L95" s="431"/>
      <c r="M95" s="431">
        <f>SUM(M92:M94)</f>
        <v>54000000</v>
      </c>
      <c r="N95" s="431"/>
      <c r="O95" s="195"/>
      <c r="P95" s="194"/>
      <c r="Q95" s="194" t="s">
        <v>10</v>
      </c>
      <c r="R95" s="196"/>
      <c r="S95" s="216"/>
    </row>
    <row r="96" spans="2:20" ht="49.5" hidden="1" customHeight="1" thickBot="1">
      <c r="G96" s="101"/>
      <c r="H96" s="17"/>
      <c r="I96" s="52"/>
      <c r="J96" s="52"/>
      <c r="K96" s="17"/>
      <c r="L96" s="17"/>
      <c r="M96" s="101"/>
      <c r="N96" s="17"/>
      <c r="O96" s="24"/>
      <c r="P96" s="17"/>
      <c r="Q96" s="18"/>
      <c r="R96" s="18"/>
      <c r="S96" s="210"/>
    </row>
    <row r="97" spans="2:19" ht="25.5" hidden="1" customHeight="1">
      <c r="D97" s="77"/>
      <c r="F97" s="173"/>
      <c r="G97" s="382" t="s">
        <v>300</v>
      </c>
      <c r="H97" s="382"/>
      <c r="I97" s="382" t="s">
        <v>145</v>
      </c>
      <c r="J97" s="382"/>
      <c r="K97" s="78"/>
      <c r="L97" s="78"/>
      <c r="M97" s="199"/>
      <c r="N97" s="78"/>
      <c r="O97" s="79"/>
      <c r="P97" s="78"/>
      <c r="Q97" s="80" t="s">
        <v>171</v>
      </c>
      <c r="R97" s="41"/>
      <c r="S97" s="219"/>
    </row>
    <row r="98" spans="2:19" ht="25.5" hidden="1" customHeight="1">
      <c r="D98" s="81"/>
      <c r="F98" s="174"/>
      <c r="G98" s="96"/>
      <c r="H98" s="82"/>
      <c r="I98" s="83"/>
      <c r="J98" s="143" t="s">
        <v>146</v>
      </c>
      <c r="K98" s="144"/>
      <c r="L98" s="144"/>
      <c r="M98" s="200"/>
      <c r="N98" s="144"/>
      <c r="O98" s="135"/>
      <c r="P98" s="144"/>
      <c r="Q98" s="84" t="s">
        <v>292</v>
      </c>
      <c r="R98" s="56"/>
      <c r="S98" s="175"/>
    </row>
    <row r="99" spans="2:19" ht="25.5" hidden="1" customHeight="1" thickBot="1">
      <c r="D99" s="85"/>
      <c r="F99" s="85"/>
      <c r="G99" s="145"/>
      <c r="H99" s="136"/>
      <c r="I99" s="146"/>
      <c r="J99" s="146"/>
      <c r="K99" s="136"/>
      <c r="L99" s="136"/>
      <c r="M99" s="202" t="s">
        <v>183</v>
      </c>
      <c r="N99" s="136"/>
      <c r="O99" s="136"/>
      <c r="P99" s="136"/>
      <c r="Q99" s="86" t="s">
        <v>206</v>
      </c>
      <c r="R99" s="42"/>
      <c r="S99" s="205"/>
    </row>
    <row r="100" spans="2:19" ht="30" hidden="1" customHeight="1">
      <c r="D100" s="385" t="s">
        <v>144</v>
      </c>
      <c r="F100" s="385" t="s">
        <v>144</v>
      </c>
      <c r="G100" s="406" t="s">
        <v>63</v>
      </c>
      <c r="H100" s="406"/>
      <c r="I100" s="409" t="s">
        <v>170</v>
      </c>
      <c r="J100" s="409"/>
      <c r="K100" s="401" t="s">
        <v>2</v>
      </c>
      <c r="L100" s="401"/>
      <c r="M100" s="401" t="s">
        <v>169</v>
      </c>
      <c r="N100" s="401"/>
      <c r="O100" s="426" t="s">
        <v>139</v>
      </c>
      <c r="P100" s="401" t="s">
        <v>1</v>
      </c>
      <c r="Q100" s="401" t="s">
        <v>138</v>
      </c>
      <c r="R100" s="62"/>
      <c r="S100" s="424" t="s">
        <v>0</v>
      </c>
    </row>
    <row r="101" spans="2:19" ht="30" hidden="1" customHeight="1">
      <c r="D101" s="386"/>
      <c r="F101" s="386"/>
      <c r="G101" s="97" t="s">
        <v>143</v>
      </c>
      <c r="H101" s="49" t="s">
        <v>142</v>
      </c>
      <c r="I101" s="49" t="s">
        <v>143</v>
      </c>
      <c r="J101" s="49" t="s">
        <v>142</v>
      </c>
      <c r="K101" s="1" t="s">
        <v>4</v>
      </c>
      <c r="L101" s="1" t="s">
        <v>3</v>
      </c>
      <c r="M101" s="100" t="s">
        <v>141</v>
      </c>
      <c r="N101" s="1" t="s">
        <v>140</v>
      </c>
      <c r="O101" s="427"/>
      <c r="P101" s="422"/>
      <c r="Q101" s="422"/>
      <c r="R101" s="2"/>
      <c r="S101" s="425"/>
    </row>
    <row r="102" spans="2:19" ht="30" hidden="1" customHeight="1">
      <c r="D102" s="55"/>
      <c r="F102" s="55"/>
      <c r="G102" s="100">
        <f>H102*O102</f>
        <v>0</v>
      </c>
      <c r="H102" s="49"/>
      <c r="I102" s="40">
        <f>J102*O102</f>
        <v>0</v>
      </c>
      <c r="J102" s="49">
        <f>H102-N102</f>
        <v>0</v>
      </c>
      <c r="K102" s="1"/>
      <c r="L102" s="1"/>
      <c r="M102" s="191">
        <f>N102*O102</f>
        <v>0</v>
      </c>
      <c r="N102" s="1"/>
      <c r="O102" s="22">
        <v>220000</v>
      </c>
      <c r="P102" s="6" t="s">
        <v>35</v>
      </c>
      <c r="Q102" s="45" t="s">
        <v>219</v>
      </c>
      <c r="R102" s="2"/>
      <c r="S102" s="34" t="s">
        <v>218</v>
      </c>
    </row>
    <row r="103" spans="2:19" ht="39" hidden="1" customHeight="1">
      <c r="D103" s="20"/>
      <c r="F103" s="20"/>
      <c r="G103" s="100">
        <f t="shared" ref="G103:G118" si="12">H103*O103</f>
        <v>0</v>
      </c>
      <c r="H103" s="1"/>
      <c r="I103" s="40">
        <f t="shared" ref="I103:I118" si="13">J103*O103</f>
        <v>0</v>
      </c>
      <c r="J103" s="49">
        <f t="shared" ref="J103:J118" si="14">H103-N103</f>
        <v>0</v>
      </c>
      <c r="K103" s="6"/>
      <c r="L103" s="6"/>
      <c r="M103" s="191">
        <f t="shared" ref="M103:M118" si="15">N103*O103</f>
        <v>0</v>
      </c>
      <c r="N103" s="6"/>
      <c r="O103" s="22">
        <v>249500</v>
      </c>
      <c r="P103" s="6" t="s">
        <v>35</v>
      </c>
      <c r="Q103" s="45" t="s">
        <v>182</v>
      </c>
      <c r="R103" s="66" t="s">
        <v>158</v>
      </c>
      <c r="S103" s="34">
        <v>120103</v>
      </c>
    </row>
    <row r="104" spans="2:19" ht="39" hidden="1" customHeight="1">
      <c r="B104" s="259">
        <v>893</v>
      </c>
      <c r="C104" s="3">
        <v>2150</v>
      </c>
      <c r="D104" s="20">
        <v>416.5</v>
      </c>
      <c r="F104" s="20"/>
      <c r="G104" s="100">
        <f t="shared" si="12"/>
        <v>970249500</v>
      </c>
      <c r="H104" s="1">
        <f>416+2150+893</f>
        <v>3459</v>
      </c>
      <c r="I104" s="40">
        <f t="shared" si="13"/>
        <v>754264500</v>
      </c>
      <c r="J104" s="49">
        <f t="shared" si="14"/>
        <v>2689</v>
      </c>
      <c r="K104" s="6"/>
      <c r="L104" s="6"/>
      <c r="M104" s="191">
        <f t="shared" si="15"/>
        <v>215985000</v>
      </c>
      <c r="N104" s="6">
        <v>770</v>
      </c>
      <c r="O104" s="22">
        <v>280500</v>
      </c>
      <c r="P104" s="6" t="s">
        <v>35</v>
      </c>
      <c r="Q104" s="46" t="s">
        <v>120</v>
      </c>
      <c r="R104" s="66" t="s">
        <v>158</v>
      </c>
      <c r="S104" s="34">
        <v>120104</v>
      </c>
    </row>
    <row r="105" spans="2:19" ht="39" hidden="1" customHeight="1">
      <c r="D105" s="20">
        <v>92.36</v>
      </c>
      <c r="F105" s="20"/>
      <c r="G105" s="100">
        <f t="shared" si="12"/>
        <v>31096000</v>
      </c>
      <c r="H105" s="1">
        <v>92</v>
      </c>
      <c r="I105" s="40">
        <f t="shared" si="13"/>
        <v>0</v>
      </c>
      <c r="J105" s="49">
        <f t="shared" si="14"/>
        <v>0</v>
      </c>
      <c r="K105" s="6"/>
      <c r="L105" s="6"/>
      <c r="M105" s="191">
        <f t="shared" si="15"/>
        <v>31096000</v>
      </c>
      <c r="N105" s="4">
        <v>92</v>
      </c>
      <c r="O105" s="22">
        <v>338000</v>
      </c>
      <c r="P105" s="6" t="s">
        <v>35</v>
      </c>
      <c r="Q105" s="46" t="s">
        <v>51</v>
      </c>
      <c r="R105" s="66" t="s">
        <v>158</v>
      </c>
      <c r="S105" s="207" t="s">
        <v>49</v>
      </c>
    </row>
    <row r="106" spans="2:19" ht="39" hidden="1" customHeight="1">
      <c r="D106" s="20">
        <v>708.39</v>
      </c>
      <c r="F106" s="20"/>
      <c r="G106" s="100">
        <f t="shared" si="12"/>
        <v>258774000</v>
      </c>
      <c r="H106" s="1">
        <v>708</v>
      </c>
      <c r="I106" s="40">
        <f t="shared" si="13"/>
        <v>-17909500</v>
      </c>
      <c r="J106" s="49">
        <f t="shared" si="14"/>
        <v>-49</v>
      </c>
      <c r="K106" s="6"/>
      <c r="L106" s="6"/>
      <c r="M106" s="191">
        <f t="shared" si="15"/>
        <v>276683500</v>
      </c>
      <c r="N106" s="4">
        <v>757</v>
      </c>
      <c r="O106" s="22">
        <v>365500</v>
      </c>
      <c r="P106" s="6" t="s">
        <v>35</v>
      </c>
      <c r="Q106" s="46" t="s">
        <v>160</v>
      </c>
      <c r="R106" s="66" t="s">
        <v>158</v>
      </c>
      <c r="S106" s="207">
        <v>120107</v>
      </c>
    </row>
    <row r="107" spans="2:19" ht="39" hidden="1" customHeight="1">
      <c r="D107" s="20"/>
      <c r="F107" s="20"/>
      <c r="G107" s="100">
        <f t="shared" si="12"/>
        <v>0</v>
      </c>
      <c r="H107" s="1"/>
      <c r="I107" s="40">
        <f t="shared" si="13"/>
        <v>0</v>
      </c>
      <c r="J107" s="49">
        <f t="shared" si="14"/>
        <v>0</v>
      </c>
      <c r="K107" s="6"/>
      <c r="L107" s="6"/>
      <c r="M107" s="191">
        <f t="shared" si="15"/>
        <v>0</v>
      </c>
      <c r="N107" s="4"/>
      <c r="O107" s="22">
        <v>25400</v>
      </c>
      <c r="P107" s="6" t="s">
        <v>35</v>
      </c>
      <c r="Q107" s="46" t="s">
        <v>161</v>
      </c>
      <c r="R107" s="66" t="s">
        <v>158</v>
      </c>
      <c r="S107" s="207">
        <v>120110</v>
      </c>
    </row>
    <row r="108" spans="2:19" ht="39" hidden="1" customHeight="1">
      <c r="C108" s="3">
        <v>1800</v>
      </c>
      <c r="D108" s="20">
        <v>118.37</v>
      </c>
      <c r="F108" s="20"/>
      <c r="G108" s="100">
        <f t="shared" si="12"/>
        <v>37796000</v>
      </c>
      <c r="H108" s="1">
        <f>118+1600</f>
        <v>1718</v>
      </c>
      <c r="I108" s="40">
        <f t="shared" si="13"/>
        <v>18832000</v>
      </c>
      <c r="J108" s="49">
        <f t="shared" si="14"/>
        <v>856</v>
      </c>
      <c r="K108" s="6"/>
      <c r="L108" s="6"/>
      <c r="M108" s="191">
        <f t="shared" si="15"/>
        <v>18964000</v>
      </c>
      <c r="N108" s="4">
        <v>862</v>
      </c>
      <c r="O108" s="22">
        <v>22000</v>
      </c>
      <c r="P108" s="6" t="s">
        <v>35</v>
      </c>
      <c r="Q108" s="46" t="s">
        <v>121</v>
      </c>
      <c r="R108" s="66" t="s">
        <v>158</v>
      </c>
      <c r="S108" s="207">
        <v>120302</v>
      </c>
    </row>
    <row r="109" spans="2:19" ht="39" hidden="1" customHeight="1">
      <c r="C109" s="3">
        <f>2300-1800</f>
        <v>500</v>
      </c>
      <c r="D109" s="20">
        <v>709.89</v>
      </c>
      <c r="F109" s="20"/>
      <c r="G109" s="100">
        <f t="shared" si="12"/>
        <v>45469000</v>
      </c>
      <c r="H109" s="1">
        <f>709+400</f>
        <v>1109</v>
      </c>
      <c r="I109" s="40">
        <f t="shared" si="13"/>
        <v>14432000</v>
      </c>
      <c r="J109" s="49">
        <f t="shared" si="14"/>
        <v>352</v>
      </c>
      <c r="K109" s="6"/>
      <c r="L109" s="6"/>
      <c r="M109" s="191">
        <f t="shared" si="15"/>
        <v>31037000</v>
      </c>
      <c r="N109" s="4">
        <v>757</v>
      </c>
      <c r="O109" s="22">
        <v>41000</v>
      </c>
      <c r="P109" s="6" t="s">
        <v>35</v>
      </c>
      <c r="Q109" s="46" t="s">
        <v>122</v>
      </c>
      <c r="R109" s="66" t="s">
        <v>158</v>
      </c>
      <c r="S109" s="207">
        <v>120303</v>
      </c>
    </row>
    <row r="110" spans="2:19" ht="39" hidden="1" customHeight="1">
      <c r="D110" s="20"/>
      <c r="F110" s="20"/>
      <c r="G110" s="100">
        <f t="shared" si="12"/>
        <v>0</v>
      </c>
      <c r="H110" s="1"/>
      <c r="I110" s="40">
        <f t="shared" si="13"/>
        <v>0</v>
      </c>
      <c r="J110" s="49">
        <f t="shared" si="14"/>
        <v>0</v>
      </c>
      <c r="K110" s="6"/>
      <c r="L110" s="6"/>
      <c r="M110" s="191">
        <f t="shared" si="15"/>
        <v>0</v>
      </c>
      <c r="N110" s="4"/>
      <c r="O110" s="108">
        <v>29300</v>
      </c>
      <c r="P110" s="6" t="s">
        <v>35</v>
      </c>
      <c r="Q110" s="46" t="s">
        <v>123</v>
      </c>
      <c r="R110" s="66" t="s">
        <v>158</v>
      </c>
      <c r="S110" s="207">
        <v>120305</v>
      </c>
    </row>
    <row r="111" spans="2:19" ht="39" hidden="1" customHeight="1">
      <c r="D111" s="20"/>
      <c r="F111" s="20"/>
      <c r="G111" s="100">
        <f t="shared" si="12"/>
        <v>0</v>
      </c>
      <c r="H111" s="1"/>
      <c r="I111" s="40">
        <f t="shared" si="13"/>
        <v>0</v>
      </c>
      <c r="J111" s="49">
        <f t="shared" si="14"/>
        <v>0</v>
      </c>
      <c r="K111" s="6"/>
      <c r="L111" s="6"/>
      <c r="M111" s="191">
        <f t="shared" si="15"/>
        <v>0</v>
      </c>
      <c r="N111" s="4"/>
      <c r="O111" s="22">
        <v>26400</v>
      </c>
      <c r="P111" s="6" t="s">
        <v>35</v>
      </c>
      <c r="Q111" s="46" t="s">
        <v>124</v>
      </c>
      <c r="R111" s="66" t="s">
        <v>158</v>
      </c>
      <c r="S111" s="207">
        <v>120307</v>
      </c>
    </row>
    <row r="112" spans="2:19" ht="39" hidden="1" customHeight="1">
      <c r="D112" s="20">
        <v>800.75</v>
      </c>
      <c r="F112" s="20"/>
      <c r="G112" s="100">
        <f t="shared" si="12"/>
        <v>4416000</v>
      </c>
      <c r="H112" s="203">
        <v>800</v>
      </c>
      <c r="I112" s="40">
        <f t="shared" si="13"/>
        <v>-270480</v>
      </c>
      <c r="J112" s="49">
        <f t="shared" si="14"/>
        <v>-49</v>
      </c>
      <c r="K112" s="6"/>
      <c r="L112" s="6"/>
      <c r="M112" s="191">
        <f t="shared" si="15"/>
        <v>4686480</v>
      </c>
      <c r="N112" s="4">
        <v>849</v>
      </c>
      <c r="O112" s="22">
        <v>5520</v>
      </c>
      <c r="P112" s="6" t="s">
        <v>35</v>
      </c>
      <c r="Q112" s="46" t="s">
        <v>52</v>
      </c>
      <c r="R112" s="66" t="s">
        <v>158</v>
      </c>
      <c r="S112" s="207" t="s">
        <v>50</v>
      </c>
    </row>
    <row r="113" spans="2:19" ht="39" hidden="1" customHeight="1">
      <c r="B113" s="259" t="s">
        <v>270</v>
      </c>
      <c r="C113" s="3" t="s">
        <v>296</v>
      </c>
      <c r="D113" s="110"/>
      <c r="F113" s="110"/>
      <c r="G113" s="100">
        <f t="shared" si="12"/>
        <v>12172000</v>
      </c>
      <c r="H113" s="1">
        <f>2150*250+223250</f>
        <v>760750</v>
      </c>
      <c r="I113" s="40">
        <f t="shared" si="13"/>
        <v>12172000</v>
      </c>
      <c r="J113" s="49">
        <f t="shared" si="14"/>
        <v>760750</v>
      </c>
      <c r="K113" s="6"/>
      <c r="L113" s="6"/>
      <c r="M113" s="191">
        <f t="shared" si="15"/>
        <v>0</v>
      </c>
      <c r="N113" s="4"/>
      <c r="O113" s="22">
        <v>16</v>
      </c>
      <c r="P113" s="6" t="s">
        <v>48</v>
      </c>
      <c r="Q113" s="46" t="s">
        <v>162</v>
      </c>
      <c r="R113" s="66" t="s">
        <v>158</v>
      </c>
      <c r="S113" s="207">
        <v>120701</v>
      </c>
    </row>
    <row r="114" spans="2:19" ht="39" hidden="1" customHeight="1">
      <c r="D114" s="110">
        <v>413319.5</v>
      </c>
      <c r="F114" s="110"/>
      <c r="G114" s="100">
        <f t="shared" si="12"/>
        <v>13226208</v>
      </c>
      <c r="H114" s="1">
        <v>413319</v>
      </c>
      <c r="I114" s="40">
        <f t="shared" si="13"/>
        <v>-3653792</v>
      </c>
      <c r="J114" s="49">
        <f t="shared" si="14"/>
        <v>-114181</v>
      </c>
      <c r="K114" s="6"/>
      <c r="L114" s="6"/>
      <c r="M114" s="191">
        <f t="shared" si="15"/>
        <v>16880000</v>
      </c>
      <c r="N114" s="4">
        <v>527500</v>
      </c>
      <c r="O114" s="22">
        <v>32</v>
      </c>
      <c r="P114" s="6" t="s">
        <v>48</v>
      </c>
      <c r="Q114" s="45" t="s">
        <v>235</v>
      </c>
      <c r="R114" s="66" t="s">
        <v>158</v>
      </c>
      <c r="S114" s="34" t="s">
        <v>234</v>
      </c>
    </row>
    <row r="115" spans="2:19" ht="39" hidden="1" customHeight="1">
      <c r="D115" s="110">
        <v>11000</v>
      </c>
      <c r="F115" s="110"/>
      <c r="G115" s="100">
        <f t="shared" si="12"/>
        <v>6545000</v>
      </c>
      <c r="H115" s="1">
        <v>11000</v>
      </c>
      <c r="I115" s="40">
        <f t="shared" si="13"/>
        <v>6545000</v>
      </c>
      <c r="J115" s="49">
        <f t="shared" si="14"/>
        <v>11000</v>
      </c>
      <c r="K115" s="6"/>
      <c r="L115" s="6"/>
      <c r="M115" s="191">
        <f t="shared" si="15"/>
        <v>0</v>
      </c>
      <c r="N115" s="4"/>
      <c r="O115" s="169">
        <v>595</v>
      </c>
      <c r="P115" s="166" t="s">
        <v>204</v>
      </c>
      <c r="Q115" s="167" t="s">
        <v>205</v>
      </c>
      <c r="R115" s="66" t="s">
        <v>158</v>
      </c>
      <c r="S115" s="207">
        <v>120703</v>
      </c>
    </row>
    <row r="116" spans="2:19" ht="39" hidden="1" customHeight="1">
      <c r="B116" s="259" t="s">
        <v>271</v>
      </c>
      <c r="C116" s="3" t="s">
        <v>297</v>
      </c>
      <c r="D116" s="57">
        <v>17156.169999999998</v>
      </c>
      <c r="F116" s="57"/>
      <c r="G116" s="100">
        <f t="shared" si="12"/>
        <v>100991020</v>
      </c>
      <c r="H116" s="58">
        <f>17156+2150*14+893*14</f>
        <v>59758</v>
      </c>
      <c r="I116" s="40">
        <f t="shared" si="13"/>
        <v>62413390</v>
      </c>
      <c r="J116" s="49">
        <f t="shared" si="14"/>
        <v>36931</v>
      </c>
      <c r="K116" s="7"/>
      <c r="L116" s="59"/>
      <c r="M116" s="191">
        <f t="shared" si="15"/>
        <v>38577630</v>
      </c>
      <c r="N116" s="168">
        <v>22827</v>
      </c>
      <c r="O116" s="60">
        <v>1690</v>
      </c>
      <c r="P116" s="4" t="s">
        <v>44</v>
      </c>
      <c r="Q116" s="74" t="s">
        <v>163</v>
      </c>
      <c r="R116" s="66" t="s">
        <v>158</v>
      </c>
      <c r="S116" s="213">
        <v>120801</v>
      </c>
    </row>
    <row r="117" spans="2:19" ht="39" hidden="1" customHeight="1">
      <c r="B117" s="259" t="s">
        <v>272</v>
      </c>
      <c r="C117" s="3" t="s">
        <v>298</v>
      </c>
      <c r="D117" s="57">
        <v>19358.900000000001</v>
      </c>
      <c r="F117" s="57"/>
      <c r="G117" s="100">
        <f t="shared" si="12"/>
        <v>53861780</v>
      </c>
      <c r="H117" s="58">
        <f>19358+2150*1.3*9+10448</f>
        <v>54961</v>
      </c>
      <c r="I117" s="40">
        <f t="shared" si="13"/>
        <v>32781980</v>
      </c>
      <c r="J117" s="49">
        <f t="shared" si="14"/>
        <v>33451</v>
      </c>
      <c r="K117" s="7"/>
      <c r="L117" s="59"/>
      <c r="M117" s="191">
        <f t="shared" si="15"/>
        <v>21079800</v>
      </c>
      <c r="N117" s="73">
        <v>21510</v>
      </c>
      <c r="O117" s="60">
        <v>980</v>
      </c>
      <c r="P117" s="4" t="s">
        <v>44</v>
      </c>
      <c r="Q117" s="74" t="s">
        <v>164</v>
      </c>
      <c r="R117" s="66" t="s">
        <v>158</v>
      </c>
      <c r="S117" s="213">
        <v>121001</v>
      </c>
    </row>
    <row r="118" spans="2:19" ht="39" hidden="1" customHeight="1">
      <c r="B118" s="259" t="s">
        <v>273</v>
      </c>
      <c r="C118" s="266" t="s">
        <v>299</v>
      </c>
      <c r="D118" s="57">
        <v>64529.75</v>
      </c>
      <c r="F118" s="57"/>
      <c r="G118" s="100">
        <f t="shared" si="12"/>
        <v>155725100</v>
      </c>
      <c r="H118" s="58">
        <f>34827+2150*1.3*30+64529</f>
        <v>183206</v>
      </c>
      <c r="I118" s="40">
        <f t="shared" si="13"/>
        <v>94780100</v>
      </c>
      <c r="J118" s="49">
        <f t="shared" si="14"/>
        <v>111506</v>
      </c>
      <c r="K118" s="7"/>
      <c r="L118" s="59"/>
      <c r="M118" s="191">
        <f t="shared" si="15"/>
        <v>60945000</v>
      </c>
      <c r="N118" s="73">
        <v>71700</v>
      </c>
      <c r="O118" s="60">
        <v>850</v>
      </c>
      <c r="P118" s="4" t="s">
        <v>44</v>
      </c>
      <c r="Q118" s="74" t="s">
        <v>165</v>
      </c>
      <c r="R118" s="66" t="s">
        <v>158</v>
      </c>
      <c r="S118" s="213">
        <v>121002</v>
      </c>
    </row>
    <row r="119" spans="2:19" ht="39" hidden="1" customHeight="1" thickBot="1">
      <c r="D119" s="21"/>
      <c r="F119" s="21"/>
      <c r="G119" s="397">
        <f>SUM(G102:G118)</f>
        <v>1690321608</v>
      </c>
      <c r="H119" s="398"/>
      <c r="I119" s="402">
        <f>SUM(I102:I118)</f>
        <v>974387198</v>
      </c>
      <c r="J119" s="402"/>
      <c r="K119" s="400">
        <f>SUM(K103:K115)</f>
        <v>0</v>
      </c>
      <c r="L119" s="400"/>
      <c r="M119" s="400">
        <f>SUM(M102:M118)</f>
        <v>715934410</v>
      </c>
      <c r="N119" s="400"/>
      <c r="O119" s="39"/>
      <c r="P119" s="115"/>
      <c r="Q119" s="115" t="s">
        <v>11</v>
      </c>
      <c r="R119" s="67"/>
      <c r="S119" s="209"/>
    </row>
    <row r="120" spans="2:19" ht="49.5" hidden="1" customHeight="1" thickBot="1">
      <c r="D120" s="13"/>
      <c r="F120" s="13"/>
      <c r="G120" s="99"/>
      <c r="H120" s="37"/>
      <c r="I120" s="50"/>
      <c r="J120" s="50"/>
      <c r="K120" s="44"/>
      <c r="L120" s="44"/>
      <c r="M120" s="99"/>
      <c r="N120" s="37"/>
      <c r="O120" s="24"/>
      <c r="P120" s="17"/>
      <c r="Q120" s="17"/>
      <c r="R120" s="17"/>
      <c r="S120" s="210"/>
    </row>
    <row r="121" spans="2:19" ht="25.5" hidden="1" customHeight="1">
      <c r="D121" s="77"/>
      <c r="F121" s="173"/>
      <c r="G121" s="382" t="s">
        <v>300</v>
      </c>
      <c r="H121" s="382"/>
      <c r="I121" s="382" t="s">
        <v>145</v>
      </c>
      <c r="J121" s="382"/>
      <c r="K121" s="78"/>
      <c r="L121" s="78"/>
      <c r="M121" s="199"/>
      <c r="N121" s="78"/>
      <c r="O121" s="79"/>
      <c r="P121" s="78"/>
      <c r="Q121" s="80" t="s">
        <v>171</v>
      </c>
      <c r="R121" s="41"/>
      <c r="S121" s="219"/>
    </row>
    <row r="122" spans="2:19" ht="25.5" hidden="1" customHeight="1">
      <c r="D122" s="81"/>
      <c r="F122" s="174"/>
      <c r="G122" s="96"/>
      <c r="H122" s="82"/>
      <c r="I122" s="83"/>
      <c r="J122" s="143" t="s">
        <v>146</v>
      </c>
      <c r="K122" s="144"/>
      <c r="L122" s="144"/>
      <c r="M122" s="200"/>
      <c r="N122" s="144"/>
      <c r="O122" s="135"/>
      <c r="P122" s="144"/>
      <c r="Q122" s="84" t="s">
        <v>292</v>
      </c>
      <c r="R122" s="56"/>
      <c r="S122" s="175"/>
    </row>
    <row r="123" spans="2:19" ht="25.5" hidden="1" customHeight="1" thickBot="1">
      <c r="D123" s="85"/>
      <c r="F123" s="85"/>
      <c r="G123" s="145"/>
      <c r="H123" s="136"/>
      <c r="I123" s="146"/>
      <c r="J123" s="146"/>
      <c r="K123" s="136"/>
      <c r="L123" s="136"/>
      <c r="M123" s="202" t="s">
        <v>183</v>
      </c>
      <c r="N123" s="136"/>
      <c r="O123" s="136"/>
      <c r="P123" s="136"/>
      <c r="Q123" s="86" t="s">
        <v>207</v>
      </c>
      <c r="R123" s="42"/>
      <c r="S123" s="205"/>
    </row>
    <row r="124" spans="2:19" ht="30" hidden="1" customHeight="1">
      <c r="D124" s="385" t="s">
        <v>144</v>
      </c>
      <c r="F124" s="385" t="s">
        <v>144</v>
      </c>
      <c r="G124" s="406" t="s">
        <v>63</v>
      </c>
      <c r="H124" s="406"/>
      <c r="I124" s="409" t="s">
        <v>170</v>
      </c>
      <c r="J124" s="409"/>
      <c r="K124" s="401" t="s">
        <v>2</v>
      </c>
      <c r="L124" s="401"/>
      <c r="M124" s="401" t="s">
        <v>169</v>
      </c>
      <c r="N124" s="401"/>
      <c r="O124" s="426" t="s">
        <v>139</v>
      </c>
      <c r="P124" s="401" t="s">
        <v>1</v>
      </c>
      <c r="Q124" s="401" t="s">
        <v>138</v>
      </c>
      <c r="R124" s="62"/>
      <c r="S124" s="424" t="s">
        <v>0</v>
      </c>
    </row>
    <row r="125" spans="2:19" ht="30" hidden="1" customHeight="1">
      <c r="D125" s="386"/>
      <c r="F125" s="386"/>
      <c r="G125" s="97" t="s">
        <v>143</v>
      </c>
      <c r="H125" s="49" t="s">
        <v>142</v>
      </c>
      <c r="I125" s="49" t="s">
        <v>143</v>
      </c>
      <c r="J125" s="49" t="s">
        <v>142</v>
      </c>
      <c r="K125" s="1" t="s">
        <v>4</v>
      </c>
      <c r="L125" s="1" t="s">
        <v>3</v>
      </c>
      <c r="M125" s="100" t="s">
        <v>141</v>
      </c>
      <c r="N125" s="1" t="s">
        <v>140</v>
      </c>
      <c r="O125" s="427"/>
      <c r="P125" s="422"/>
      <c r="Q125" s="422"/>
      <c r="R125" s="2"/>
      <c r="S125" s="425"/>
    </row>
    <row r="126" spans="2:19" ht="35.25" hidden="1" customHeight="1">
      <c r="D126" s="5"/>
      <c r="F126" s="5"/>
      <c r="G126" s="100"/>
      <c r="H126" s="1"/>
      <c r="I126" s="40">
        <f>J126*O126</f>
        <v>-103292000</v>
      </c>
      <c r="J126" s="49">
        <f>H126-N126</f>
        <v>-136</v>
      </c>
      <c r="K126" s="6"/>
      <c r="L126" s="6"/>
      <c r="M126" s="191">
        <f>N126*O126</f>
        <v>103292000</v>
      </c>
      <c r="N126" s="4">
        <v>136</v>
      </c>
      <c r="O126" s="22">
        <v>759500</v>
      </c>
      <c r="P126" s="6" t="s">
        <v>35</v>
      </c>
      <c r="Q126" s="46" t="s">
        <v>110</v>
      </c>
      <c r="R126" s="46" t="s">
        <v>158</v>
      </c>
      <c r="S126" s="207">
        <v>130804</v>
      </c>
    </row>
    <row r="127" spans="2:19" ht="35.25" hidden="1" customHeight="1">
      <c r="D127" s="5"/>
      <c r="F127" s="5"/>
      <c r="G127" s="100"/>
      <c r="H127" s="1"/>
      <c r="I127" s="40">
        <f>J127*O127</f>
        <v>-217550000</v>
      </c>
      <c r="J127" s="49">
        <f>H127-N127</f>
        <v>-380</v>
      </c>
      <c r="K127" s="6"/>
      <c r="L127" s="6"/>
      <c r="M127" s="191">
        <f>N127*O127</f>
        <v>217550000</v>
      </c>
      <c r="N127" s="4">
        <v>380</v>
      </c>
      <c r="O127" s="22">
        <v>572500</v>
      </c>
      <c r="P127" s="6" t="s">
        <v>35</v>
      </c>
      <c r="Q127" s="45" t="s">
        <v>237</v>
      </c>
      <c r="R127" s="46" t="s">
        <v>158</v>
      </c>
      <c r="S127" s="34" t="s">
        <v>236</v>
      </c>
    </row>
    <row r="128" spans="2:19" ht="35.25" hidden="1" customHeight="1">
      <c r="D128" s="5"/>
      <c r="F128" s="5"/>
      <c r="G128" s="100">
        <f>H128*O128</f>
        <v>7986000</v>
      </c>
      <c r="H128" s="1">
        <v>44</v>
      </c>
      <c r="I128" s="40">
        <f>J128*O128</f>
        <v>7986000</v>
      </c>
      <c r="J128" s="49">
        <f>H128-N128</f>
        <v>44</v>
      </c>
      <c r="K128" s="6"/>
      <c r="L128" s="6"/>
      <c r="M128" s="191">
        <f>N128*O128</f>
        <v>0</v>
      </c>
      <c r="N128" s="4"/>
      <c r="O128" s="22">
        <v>181500</v>
      </c>
      <c r="P128" s="6" t="s">
        <v>155</v>
      </c>
      <c r="Q128" s="46" t="s">
        <v>208</v>
      </c>
      <c r="R128" s="46" t="s">
        <v>158</v>
      </c>
      <c r="S128" s="207">
        <v>131109</v>
      </c>
    </row>
    <row r="129" spans="2:19" ht="27" hidden="1" customHeight="1" thickBot="1">
      <c r="D129" s="21"/>
      <c r="F129" s="21"/>
      <c r="G129" s="397">
        <f>SUM(G126:G128)</f>
        <v>7986000</v>
      </c>
      <c r="H129" s="398"/>
      <c r="I129" s="402">
        <f>SUM(I126:I128)</f>
        <v>-312856000</v>
      </c>
      <c r="J129" s="402"/>
      <c r="K129" s="400">
        <f>SUM(K126:K126)</f>
        <v>0</v>
      </c>
      <c r="L129" s="400"/>
      <c r="M129" s="400">
        <f>SUM(M126:M128)</f>
        <v>320842000</v>
      </c>
      <c r="N129" s="400"/>
      <c r="O129" s="39"/>
      <c r="P129" s="115"/>
      <c r="Q129" s="115" t="s">
        <v>111</v>
      </c>
      <c r="R129" s="15"/>
      <c r="S129" s="209"/>
    </row>
    <row r="130" spans="2:19" ht="25.5" hidden="1" customHeight="1" thickBot="1">
      <c r="D130" s="85"/>
      <c r="F130" s="85"/>
      <c r="G130" s="145"/>
      <c r="H130" s="136"/>
      <c r="I130" s="146"/>
      <c r="J130" s="146"/>
      <c r="K130" s="136"/>
      <c r="L130" s="136"/>
      <c r="M130" s="202" t="s">
        <v>183</v>
      </c>
      <c r="N130" s="136"/>
      <c r="O130" s="136"/>
      <c r="P130" s="136"/>
      <c r="Q130" s="86" t="s">
        <v>209</v>
      </c>
      <c r="R130" s="42"/>
      <c r="S130" s="205"/>
    </row>
    <row r="131" spans="2:19" ht="43.5" hidden="1" customHeight="1">
      <c r="D131" s="20">
        <v>7280</v>
      </c>
      <c r="F131" s="20"/>
      <c r="G131" s="100">
        <f t="shared" ref="G131:G141" si="16">H131*O131</f>
        <v>531440000</v>
      </c>
      <c r="H131" s="1">
        <v>7280</v>
      </c>
      <c r="I131" s="40">
        <f>J131*O131</f>
        <v>-577941000</v>
      </c>
      <c r="J131" s="49">
        <f>H131-N131</f>
        <v>-7917</v>
      </c>
      <c r="K131" s="6"/>
      <c r="L131" s="6"/>
      <c r="M131" s="113">
        <f t="shared" ref="M131:M141" si="17">N131*O131</f>
        <v>1109381000</v>
      </c>
      <c r="N131" s="4">
        <v>15197</v>
      </c>
      <c r="O131" s="22">
        <v>73000</v>
      </c>
      <c r="P131" s="6" t="s">
        <v>35</v>
      </c>
      <c r="Q131" s="45" t="s">
        <v>239</v>
      </c>
      <c r="R131" s="65" t="s">
        <v>158</v>
      </c>
      <c r="S131" s="34" t="s">
        <v>238</v>
      </c>
    </row>
    <row r="132" spans="2:19" ht="43.5" hidden="1" customHeight="1">
      <c r="D132" s="20"/>
      <c r="F132" s="20"/>
      <c r="G132" s="100">
        <f t="shared" si="16"/>
        <v>0</v>
      </c>
      <c r="H132" s="1"/>
      <c r="I132" s="40">
        <f t="shared" ref="I132:I141" si="18">J132*O132</f>
        <v>0</v>
      </c>
      <c r="J132" s="49">
        <f t="shared" ref="J132:J141" si="19">H132-N132</f>
        <v>0</v>
      </c>
      <c r="K132" s="6"/>
      <c r="L132" s="6"/>
      <c r="M132" s="100">
        <f t="shared" si="17"/>
        <v>0</v>
      </c>
      <c r="N132" s="4"/>
      <c r="O132" s="22">
        <v>6170</v>
      </c>
      <c r="P132" s="6" t="s">
        <v>35</v>
      </c>
      <c r="Q132" s="45" t="s">
        <v>166</v>
      </c>
      <c r="R132" s="65" t="s">
        <v>158</v>
      </c>
      <c r="S132" s="207">
        <v>140701</v>
      </c>
    </row>
    <row r="133" spans="2:19" ht="43.5" hidden="1" customHeight="1">
      <c r="D133" s="20"/>
      <c r="F133" s="20"/>
      <c r="G133" s="100">
        <f t="shared" si="16"/>
        <v>1064000</v>
      </c>
      <c r="H133" s="1">
        <v>140</v>
      </c>
      <c r="I133" s="40">
        <f t="shared" si="18"/>
        <v>1064000</v>
      </c>
      <c r="J133" s="49">
        <f t="shared" si="19"/>
        <v>140</v>
      </c>
      <c r="K133" s="6"/>
      <c r="L133" s="6"/>
      <c r="M133" s="100">
        <f t="shared" si="17"/>
        <v>0</v>
      </c>
      <c r="N133" s="4"/>
      <c r="O133" s="22">
        <v>7600</v>
      </c>
      <c r="P133" s="6" t="s">
        <v>35</v>
      </c>
      <c r="Q133" s="45" t="s">
        <v>136</v>
      </c>
      <c r="R133" s="65" t="s">
        <v>158</v>
      </c>
      <c r="S133" s="207">
        <v>140704</v>
      </c>
    </row>
    <row r="134" spans="2:19" ht="43.5" hidden="1" customHeight="1">
      <c r="D134" s="20"/>
      <c r="F134" s="20"/>
      <c r="G134" s="100">
        <f t="shared" si="16"/>
        <v>455000</v>
      </c>
      <c r="H134" s="1">
        <v>140</v>
      </c>
      <c r="I134" s="40">
        <f t="shared" si="18"/>
        <v>455000</v>
      </c>
      <c r="J134" s="49">
        <f t="shared" si="19"/>
        <v>140</v>
      </c>
      <c r="K134" s="6"/>
      <c r="L134" s="6"/>
      <c r="M134" s="100">
        <f t="shared" si="17"/>
        <v>0</v>
      </c>
      <c r="N134" s="4"/>
      <c r="O134" s="22">
        <v>3250</v>
      </c>
      <c r="P134" s="6" t="s">
        <v>35</v>
      </c>
      <c r="Q134" s="45" t="s">
        <v>167</v>
      </c>
      <c r="R134" s="65" t="s">
        <v>158</v>
      </c>
      <c r="S134" s="207">
        <v>140801</v>
      </c>
    </row>
    <row r="135" spans="2:19" ht="43.5" hidden="1" customHeight="1">
      <c r="B135" s="259">
        <v>950</v>
      </c>
      <c r="D135" s="20"/>
      <c r="F135" s="20"/>
      <c r="G135" s="100">
        <f t="shared" si="16"/>
        <v>72485000</v>
      </c>
      <c r="H135" s="1">
        <v>950</v>
      </c>
      <c r="I135" s="40">
        <f t="shared" si="18"/>
        <v>72485000</v>
      </c>
      <c r="J135" s="49">
        <f t="shared" si="19"/>
        <v>950</v>
      </c>
      <c r="K135" s="6"/>
      <c r="L135" s="6"/>
      <c r="M135" s="100">
        <f t="shared" si="17"/>
        <v>0</v>
      </c>
      <c r="N135" s="4"/>
      <c r="O135" s="22">
        <v>76300</v>
      </c>
      <c r="P135" s="6" t="s">
        <v>35</v>
      </c>
      <c r="Q135" s="45" t="s">
        <v>275</v>
      </c>
      <c r="R135" s="65" t="s">
        <v>158</v>
      </c>
      <c r="S135" s="207" t="s">
        <v>274</v>
      </c>
    </row>
    <row r="136" spans="2:19" ht="43.5" hidden="1" customHeight="1">
      <c r="D136" s="20"/>
      <c r="F136" s="20"/>
      <c r="G136" s="100">
        <f t="shared" si="16"/>
        <v>0</v>
      </c>
      <c r="H136" s="1"/>
      <c r="I136" s="40">
        <f t="shared" si="18"/>
        <v>0</v>
      </c>
      <c r="J136" s="49">
        <f t="shared" si="19"/>
        <v>0</v>
      </c>
      <c r="K136" s="6"/>
      <c r="L136" s="6"/>
      <c r="M136" s="100">
        <f t="shared" si="17"/>
        <v>0</v>
      </c>
      <c r="N136" s="4"/>
      <c r="O136" s="22">
        <v>9670</v>
      </c>
      <c r="P136" s="6" t="s">
        <v>35</v>
      </c>
      <c r="Q136" s="45" t="s">
        <v>137</v>
      </c>
      <c r="R136" s="65" t="s">
        <v>158</v>
      </c>
      <c r="S136" s="207">
        <v>141002</v>
      </c>
    </row>
    <row r="137" spans="2:19" ht="43.5" hidden="1" customHeight="1">
      <c r="D137" s="20">
        <v>400</v>
      </c>
      <c r="F137" s="20"/>
      <c r="G137" s="100">
        <f t="shared" si="16"/>
        <v>13800000</v>
      </c>
      <c r="H137" s="1">
        <v>400</v>
      </c>
      <c r="I137" s="40">
        <f t="shared" si="18"/>
        <v>13800000</v>
      </c>
      <c r="J137" s="49">
        <f t="shared" si="19"/>
        <v>400</v>
      </c>
      <c r="K137" s="6"/>
      <c r="L137" s="6"/>
      <c r="M137" s="100">
        <f t="shared" si="17"/>
        <v>0</v>
      </c>
      <c r="N137" s="4"/>
      <c r="O137" s="22">
        <v>34500</v>
      </c>
      <c r="P137" s="6" t="s">
        <v>35</v>
      </c>
      <c r="Q137" s="45" t="s">
        <v>253</v>
      </c>
      <c r="R137" s="65" t="s">
        <v>158</v>
      </c>
      <c r="S137" s="34" t="s">
        <v>251</v>
      </c>
    </row>
    <row r="138" spans="2:19" ht="43.5" hidden="1" customHeight="1">
      <c r="D138" s="20">
        <v>600</v>
      </c>
      <c r="F138" s="20"/>
      <c r="G138" s="100">
        <f t="shared" si="16"/>
        <v>17160000</v>
      </c>
      <c r="H138" s="1">
        <v>600</v>
      </c>
      <c r="I138" s="40">
        <f t="shared" si="18"/>
        <v>17160000</v>
      </c>
      <c r="J138" s="49">
        <f t="shared" si="19"/>
        <v>600</v>
      </c>
      <c r="K138" s="6"/>
      <c r="L138" s="6"/>
      <c r="M138" s="100">
        <f t="shared" si="17"/>
        <v>0</v>
      </c>
      <c r="N138" s="4"/>
      <c r="O138" s="22">
        <v>28600</v>
      </c>
      <c r="P138" s="6" t="s">
        <v>35</v>
      </c>
      <c r="Q138" s="45" t="s">
        <v>254</v>
      </c>
      <c r="R138" s="65" t="s">
        <v>158</v>
      </c>
      <c r="S138" s="34" t="s">
        <v>252</v>
      </c>
    </row>
    <row r="139" spans="2:19" ht="32.25" hidden="1" customHeight="1">
      <c r="B139" s="259" t="s">
        <v>276</v>
      </c>
      <c r="D139" s="20">
        <v>92520</v>
      </c>
      <c r="F139" s="20"/>
      <c r="G139" s="100">
        <f t="shared" si="16"/>
        <v>99048600</v>
      </c>
      <c r="H139" s="1">
        <f>92520+9*950</f>
        <v>101070</v>
      </c>
      <c r="I139" s="40">
        <f t="shared" si="18"/>
        <v>-34988940</v>
      </c>
      <c r="J139" s="49">
        <f t="shared" si="19"/>
        <v>-35703</v>
      </c>
      <c r="K139" s="6"/>
      <c r="L139" s="6"/>
      <c r="M139" s="100">
        <f t="shared" si="17"/>
        <v>134037540</v>
      </c>
      <c r="N139" s="4">
        <v>136773</v>
      </c>
      <c r="O139" s="104">
        <v>980</v>
      </c>
      <c r="P139" s="4" t="s">
        <v>44</v>
      </c>
      <c r="Q139" s="45" t="s">
        <v>68</v>
      </c>
      <c r="R139" s="65" t="s">
        <v>158</v>
      </c>
      <c r="S139" s="207">
        <v>141901</v>
      </c>
    </row>
    <row r="140" spans="2:19" ht="32.25" hidden="1" customHeight="1">
      <c r="B140" s="259" t="s">
        <v>277</v>
      </c>
      <c r="D140" s="20">
        <v>205600</v>
      </c>
      <c r="F140" s="20"/>
      <c r="G140" s="100">
        <f t="shared" si="16"/>
        <v>201017000</v>
      </c>
      <c r="H140" s="1">
        <f>205600+20*950</f>
        <v>224600</v>
      </c>
      <c r="I140" s="40">
        <f t="shared" si="18"/>
        <v>-71009300</v>
      </c>
      <c r="J140" s="49">
        <f t="shared" si="19"/>
        <v>-79340</v>
      </c>
      <c r="K140" s="6"/>
      <c r="L140" s="6"/>
      <c r="M140" s="100">
        <f t="shared" si="17"/>
        <v>272026300</v>
      </c>
      <c r="N140" s="4">
        <v>303940</v>
      </c>
      <c r="O140" s="22">
        <v>895</v>
      </c>
      <c r="P140" s="4" t="s">
        <v>44</v>
      </c>
      <c r="Q140" s="45" t="s">
        <v>242</v>
      </c>
      <c r="R140" s="65" t="s">
        <v>158</v>
      </c>
      <c r="S140" s="207">
        <v>141902</v>
      </c>
    </row>
    <row r="141" spans="2:19" ht="32.25" hidden="1" customHeight="1">
      <c r="B141" s="259" t="s">
        <v>278</v>
      </c>
      <c r="D141" s="57">
        <v>102800</v>
      </c>
      <c r="F141" s="57"/>
      <c r="G141" s="100">
        <f t="shared" si="16"/>
        <v>80294500</v>
      </c>
      <c r="H141" s="224">
        <f>102800+10*950</f>
        <v>112300</v>
      </c>
      <c r="I141" s="40">
        <f t="shared" si="18"/>
        <v>-28364050</v>
      </c>
      <c r="J141" s="49">
        <f t="shared" si="19"/>
        <v>-39670</v>
      </c>
      <c r="K141" s="7"/>
      <c r="L141" s="7"/>
      <c r="M141" s="100">
        <f t="shared" si="17"/>
        <v>108658550</v>
      </c>
      <c r="N141" s="59">
        <v>151970</v>
      </c>
      <c r="O141" s="60">
        <v>715</v>
      </c>
      <c r="P141" s="4" t="s">
        <v>44</v>
      </c>
      <c r="Q141" s="247" t="s">
        <v>241</v>
      </c>
      <c r="R141" s="65" t="s">
        <v>158</v>
      </c>
      <c r="S141" s="248" t="s">
        <v>240</v>
      </c>
    </row>
    <row r="142" spans="2:19" ht="29.25" hidden="1" customHeight="1" thickBot="1">
      <c r="D142" s="21"/>
      <c r="F142" s="21"/>
      <c r="G142" s="397">
        <f>SUM(G131:G141)</f>
        <v>1016764100</v>
      </c>
      <c r="H142" s="398"/>
      <c r="I142" s="432">
        <f>SUM(I131:I141)</f>
        <v>-607339290</v>
      </c>
      <c r="J142" s="432"/>
      <c r="K142" s="433">
        <f>SUM(K131:K140)</f>
        <v>0</v>
      </c>
      <c r="L142" s="433"/>
      <c r="M142" s="400">
        <f>SUM(M131:M141)</f>
        <v>1624103390</v>
      </c>
      <c r="N142" s="400"/>
      <c r="O142" s="400"/>
      <c r="P142" s="400"/>
      <c r="Q142" s="170" t="s">
        <v>13</v>
      </c>
      <c r="R142" s="68"/>
      <c r="S142" s="217"/>
    </row>
    <row r="143" spans="2:19" ht="49.5" hidden="1" customHeight="1">
      <c r="D143" s="13"/>
      <c r="F143" s="13"/>
      <c r="G143" s="99"/>
      <c r="H143" s="11"/>
      <c r="I143" s="54"/>
      <c r="J143" s="54"/>
      <c r="K143" s="87"/>
      <c r="L143" s="87"/>
      <c r="M143" s="99"/>
      <c r="N143" s="37"/>
      <c r="O143" s="37"/>
      <c r="P143" s="37"/>
      <c r="Q143" s="88"/>
      <c r="R143" s="88"/>
      <c r="S143" s="218"/>
    </row>
    <row r="144" spans="2:19" ht="49.5" hidden="1" customHeight="1" thickBot="1">
      <c r="D144" s="13"/>
      <c r="F144" s="13"/>
      <c r="G144" s="99"/>
      <c r="H144" s="11"/>
      <c r="I144" s="54"/>
      <c r="J144" s="54"/>
      <c r="K144" s="87"/>
      <c r="L144" s="87"/>
      <c r="M144" s="99"/>
      <c r="N144" s="37"/>
      <c r="O144" s="37"/>
      <c r="P144" s="37"/>
      <c r="Q144" s="88"/>
      <c r="R144" s="88"/>
      <c r="S144" s="218"/>
    </row>
    <row r="145" spans="2:19" ht="25.5" hidden="1" customHeight="1">
      <c r="D145" s="77"/>
      <c r="F145" s="173"/>
      <c r="G145" s="382" t="s">
        <v>300</v>
      </c>
      <c r="H145" s="382"/>
      <c r="I145" s="382" t="s">
        <v>145</v>
      </c>
      <c r="J145" s="382"/>
      <c r="K145" s="78"/>
      <c r="L145" s="78"/>
      <c r="M145" s="199"/>
      <c r="N145" s="78"/>
      <c r="O145" s="79"/>
      <c r="P145" s="78"/>
      <c r="Q145" s="80" t="s">
        <v>171</v>
      </c>
      <c r="R145" s="41"/>
      <c r="S145" s="219"/>
    </row>
    <row r="146" spans="2:19" ht="25.5" hidden="1" customHeight="1">
      <c r="D146" s="81"/>
      <c r="F146" s="174"/>
      <c r="G146" s="96"/>
      <c r="H146" s="82"/>
      <c r="I146" s="83"/>
      <c r="J146" s="143" t="s">
        <v>146</v>
      </c>
      <c r="K146" s="144"/>
      <c r="L146" s="144"/>
      <c r="M146" s="200"/>
      <c r="N146" s="144"/>
      <c r="O146" s="135"/>
      <c r="P146" s="144"/>
      <c r="Q146" s="84" t="s">
        <v>292</v>
      </c>
      <c r="R146" s="56"/>
      <c r="S146" s="175"/>
    </row>
    <row r="147" spans="2:19" ht="25.5" hidden="1" customHeight="1" thickBot="1">
      <c r="D147" s="85"/>
      <c r="F147" s="85"/>
      <c r="G147" s="145"/>
      <c r="H147" s="136"/>
      <c r="I147" s="146"/>
      <c r="J147" s="146"/>
      <c r="K147" s="136"/>
      <c r="L147" s="136"/>
      <c r="M147" s="202" t="s">
        <v>183</v>
      </c>
      <c r="N147" s="136"/>
      <c r="O147" s="136"/>
      <c r="P147" s="136"/>
      <c r="Q147" s="86" t="s">
        <v>210</v>
      </c>
      <c r="R147" s="42"/>
      <c r="S147" s="205"/>
    </row>
    <row r="148" spans="2:19" ht="34.5" hidden="1" customHeight="1">
      <c r="C148" s="3" t="s">
        <v>291</v>
      </c>
      <c r="D148" s="20"/>
      <c r="F148" s="20"/>
      <c r="G148" s="100">
        <f>H148*O148</f>
        <v>6300000</v>
      </c>
      <c r="H148" s="1">
        <v>700</v>
      </c>
      <c r="I148" s="40">
        <f>J148*O148</f>
        <v>6300000</v>
      </c>
      <c r="J148" s="49">
        <f>H148-N148</f>
        <v>700</v>
      </c>
      <c r="K148" s="4"/>
      <c r="L148" s="4"/>
      <c r="M148" s="191"/>
      <c r="N148" s="4"/>
      <c r="O148" s="22">
        <v>9000</v>
      </c>
      <c r="P148" s="4" t="s">
        <v>36</v>
      </c>
      <c r="Q148" s="4" t="s">
        <v>98</v>
      </c>
      <c r="R148" s="64" t="s">
        <v>158</v>
      </c>
      <c r="S148" s="32" t="s">
        <v>97</v>
      </c>
    </row>
    <row r="149" spans="2:19" ht="34.5" hidden="1" customHeight="1">
      <c r="D149" s="20"/>
      <c r="F149" s="20"/>
      <c r="G149" s="100"/>
      <c r="H149" s="1"/>
      <c r="I149" s="40">
        <f>J149*O149</f>
        <v>0</v>
      </c>
      <c r="J149" s="49">
        <f>H149-N149</f>
        <v>0</v>
      </c>
      <c r="K149" s="4"/>
      <c r="L149" s="4"/>
      <c r="M149" s="191"/>
      <c r="N149" s="4"/>
      <c r="O149" s="22">
        <v>43200</v>
      </c>
      <c r="P149" s="4" t="s">
        <v>36</v>
      </c>
      <c r="Q149" s="4" t="s">
        <v>106</v>
      </c>
      <c r="R149" s="64" t="s">
        <v>158</v>
      </c>
      <c r="S149" s="32" t="s">
        <v>105</v>
      </c>
    </row>
    <row r="150" spans="2:19" s="171" customFormat="1" ht="34.5" hidden="1" customHeight="1" thickBot="1">
      <c r="B150" s="260"/>
      <c r="C150" s="263"/>
      <c r="D150" s="131"/>
      <c r="F150" s="131"/>
      <c r="G150" s="397">
        <f>SUM(G148:G149)</f>
        <v>6300000</v>
      </c>
      <c r="H150" s="398"/>
      <c r="I150" s="399">
        <f>SUM(I148:I149)</f>
        <v>6300000</v>
      </c>
      <c r="J150" s="399"/>
      <c r="K150" s="411">
        <f>SUM(K148:K149)</f>
        <v>0</v>
      </c>
      <c r="L150" s="411"/>
      <c r="M150" s="411">
        <f>SUM(M148:M149)</f>
        <v>0</v>
      </c>
      <c r="N150" s="411"/>
      <c r="O150" s="133"/>
      <c r="P150" s="132"/>
      <c r="Q150" s="134" t="s">
        <v>60</v>
      </c>
      <c r="R150" s="172"/>
      <c r="S150" s="217"/>
    </row>
    <row r="151" spans="2:19" ht="32.25" hidden="1" customHeight="1">
      <c r="D151" s="177"/>
      <c r="F151" s="177"/>
      <c r="G151" s="103"/>
      <c r="H151" s="75"/>
      <c r="I151" s="40">
        <f>J151*O151</f>
        <v>0</v>
      </c>
      <c r="J151" s="49">
        <f>H151-N151</f>
        <v>0</v>
      </c>
      <c r="K151" s="75"/>
      <c r="L151" s="75"/>
      <c r="M151" s="191"/>
      <c r="N151" s="75"/>
      <c r="O151" s="90">
        <v>40700</v>
      </c>
      <c r="P151" s="4" t="s">
        <v>125</v>
      </c>
      <c r="Q151" s="71" t="s">
        <v>168</v>
      </c>
      <c r="R151" s="72" t="s">
        <v>158</v>
      </c>
      <c r="S151" s="214">
        <v>190103</v>
      </c>
    </row>
    <row r="152" spans="2:19" ht="32.25" hidden="1" customHeight="1">
      <c r="D152" s="177">
        <v>4369.33</v>
      </c>
      <c r="F152" s="177"/>
      <c r="G152" s="103">
        <f>H152*O152</f>
        <v>27087800</v>
      </c>
      <c r="H152" s="75">
        <v>4369</v>
      </c>
      <c r="I152" s="40">
        <f>J152*O152</f>
        <v>27087800</v>
      </c>
      <c r="J152" s="49">
        <f>H152-N152</f>
        <v>4369</v>
      </c>
      <c r="K152" s="75"/>
      <c r="L152" s="75"/>
      <c r="M152" s="191"/>
      <c r="N152" s="75"/>
      <c r="O152" s="90">
        <v>6200</v>
      </c>
      <c r="P152" s="4" t="s">
        <v>125</v>
      </c>
      <c r="Q152" s="71" t="s">
        <v>256</v>
      </c>
      <c r="R152" s="72" t="s">
        <v>158</v>
      </c>
      <c r="S152" s="212" t="s">
        <v>255</v>
      </c>
    </row>
    <row r="153" spans="2:19" ht="32.25" hidden="1" customHeight="1">
      <c r="B153" s="259">
        <v>450</v>
      </c>
      <c r="C153" s="3">
        <v>300</v>
      </c>
      <c r="D153" s="5">
        <v>348.75</v>
      </c>
      <c r="F153" s="5"/>
      <c r="G153" s="103">
        <f>H153*O153</f>
        <v>61048800</v>
      </c>
      <c r="H153" s="1">
        <f>348+300+450</f>
        <v>1098</v>
      </c>
      <c r="I153" s="40">
        <f>J153*O153</f>
        <v>61048800</v>
      </c>
      <c r="J153" s="49">
        <f>H153-N153</f>
        <v>1098</v>
      </c>
      <c r="K153" s="4"/>
      <c r="L153" s="4"/>
      <c r="M153" s="191"/>
      <c r="N153" s="4"/>
      <c r="O153" s="22">
        <v>55600</v>
      </c>
      <c r="P153" s="4" t="s">
        <v>108</v>
      </c>
      <c r="Q153" s="46" t="s">
        <v>150</v>
      </c>
      <c r="R153" s="72" t="s">
        <v>158</v>
      </c>
      <c r="S153" s="32" t="s">
        <v>149</v>
      </c>
    </row>
    <row r="154" spans="2:19" ht="32.25" hidden="1" customHeight="1">
      <c r="D154" s="57"/>
      <c r="F154" s="57"/>
      <c r="G154" s="103">
        <f>H154*O154</f>
        <v>10680000</v>
      </c>
      <c r="H154" s="1">
        <v>120</v>
      </c>
      <c r="I154" s="40">
        <f>J154*O154</f>
        <v>-7120000</v>
      </c>
      <c r="J154" s="49">
        <f>H154-N154</f>
        <v>-80</v>
      </c>
      <c r="K154" s="59"/>
      <c r="L154" s="59"/>
      <c r="M154" s="191">
        <f>N154*O154</f>
        <v>17800000</v>
      </c>
      <c r="N154" s="59">
        <v>200</v>
      </c>
      <c r="O154" s="60">
        <v>89000</v>
      </c>
      <c r="P154" s="59" t="s">
        <v>64</v>
      </c>
      <c r="Q154" s="247" t="s">
        <v>244</v>
      </c>
      <c r="R154" s="72" t="s">
        <v>159</v>
      </c>
      <c r="S154" s="76" t="s">
        <v>243</v>
      </c>
    </row>
    <row r="155" spans="2:19" s="178" customFormat="1" ht="32.25" hidden="1" customHeight="1" thickBot="1">
      <c r="B155" s="261"/>
      <c r="C155" s="264"/>
      <c r="D155" s="179"/>
      <c r="F155" s="179"/>
      <c r="G155" s="407">
        <f>SUM(G151:G154)</f>
        <v>98816600</v>
      </c>
      <c r="H155" s="408"/>
      <c r="I155" s="403">
        <f>SUM(I151:I154)</f>
        <v>81016600</v>
      </c>
      <c r="J155" s="403"/>
      <c r="K155" s="434" t="e">
        <f>SUM(#REF!)</f>
        <v>#REF!</v>
      </c>
      <c r="L155" s="434"/>
      <c r="M155" s="434">
        <f>SUM(M151:M154)</f>
        <v>17800000</v>
      </c>
      <c r="N155" s="434"/>
      <c r="O155" s="182"/>
      <c r="P155" s="181"/>
      <c r="Q155" s="183" t="s">
        <v>107</v>
      </c>
      <c r="R155" s="184"/>
      <c r="S155" s="221"/>
    </row>
    <row r="156" spans="2:19" ht="25.5" hidden="1" customHeight="1" thickBot="1">
      <c r="D156" s="85"/>
      <c r="F156" s="85"/>
      <c r="G156" s="145"/>
      <c r="H156" s="136"/>
      <c r="I156" s="146"/>
      <c r="J156" s="146"/>
      <c r="K156" s="136"/>
      <c r="L156" s="136"/>
      <c r="M156" s="202" t="s">
        <v>183</v>
      </c>
      <c r="N156" s="136"/>
      <c r="O156" s="136"/>
      <c r="P156" s="136"/>
      <c r="Q156" s="86" t="s">
        <v>211</v>
      </c>
      <c r="R156" s="42"/>
      <c r="S156" s="205"/>
    </row>
    <row r="157" spans="2:19" ht="33" hidden="1" customHeight="1">
      <c r="B157" s="265">
        <f>(C104+B104)*0.25*45</f>
        <v>34233.75</v>
      </c>
      <c r="D157" s="20">
        <v>32089.8</v>
      </c>
      <c r="F157" s="20"/>
      <c r="G157" s="100">
        <f>H157*O157</f>
        <v>24207530</v>
      </c>
      <c r="H157" s="1">
        <f>32089+34233</f>
        <v>66322</v>
      </c>
      <c r="I157" s="40">
        <f>J157*O157</f>
        <v>11620870</v>
      </c>
      <c r="J157" s="49">
        <f>H157-N157</f>
        <v>31838</v>
      </c>
      <c r="K157" s="4"/>
      <c r="L157" s="4"/>
      <c r="M157" s="191">
        <f>N157*O157</f>
        <v>12586660</v>
      </c>
      <c r="N157" s="4">
        <v>34484</v>
      </c>
      <c r="O157" s="22">
        <v>365</v>
      </c>
      <c r="P157" s="4" t="s">
        <v>59</v>
      </c>
      <c r="Q157" s="4" t="s">
        <v>56</v>
      </c>
      <c r="R157" s="64" t="s">
        <v>158</v>
      </c>
      <c r="S157" s="207" t="s">
        <v>53</v>
      </c>
    </row>
    <row r="158" spans="2:19" ht="33" hidden="1" customHeight="1">
      <c r="B158" s="265">
        <f>(C104+B104)*0.25*75</f>
        <v>57056.25</v>
      </c>
      <c r="D158" s="20">
        <v>27643.439999999999</v>
      </c>
      <c r="F158" s="20"/>
      <c r="G158" s="100">
        <f>H158*O158</f>
        <v>20751255</v>
      </c>
      <c r="H158" s="1">
        <f>27643+57056</f>
        <v>84699</v>
      </c>
      <c r="I158" s="40">
        <f>J158*O158</f>
        <v>13560995</v>
      </c>
      <c r="J158" s="49">
        <f>H158-N158</f>
        <v>55351</v>
      </c>
      <c r="K158" s="4"/>
      <c r="L158" s="4"/>
      <c r="M158" s="191">
        <f>N158*O158</f>
        <v>7190260</v>
      </c>
      <c r="N158" s="4">
        <v>29348</v>
      </c>
      <c r="O158" s="22">
        <v>245</v>
      </c>
      <c r="P158" s="4" t="s">
        <v>59</v>
      </c>
      <c r="Q158" s="4" t="s">
        <v>57</v>
      </c>
      <c r="R158" s="64" t="s">
        <v>158</v>
      </c>
      <c r="S158" s="207" t="s">
        <v>54</v>
      </c>
    </row>
    <row r="159" spans="2:19" ht="33" hidden="1" customHeight="1">
      <c r="B159" s="265">
        <f>(C104+B104)*0.25*150</f>
        <v>114112.5</v>
      </c>
      <c r="D159" s="20">
        <v>10067.700000000001</v>
      </c>
      <c r="F159" s="20"/>
      <c r="G159" s="100">
        <f>H159*O159</f>
        <v>1560385</v>
      </c>
      <c r="H159" s="1">
        <v>10067</v>
      </c>
      <c r="I159" s="40">
        <f>J159*O159</f>
        <v>91295</v>
      </c>
      <c r="J159" s="49">
        <f>H159-N159</f>
        <v>589</v>
      </c>
      <c r="K159" s="4"/>
      <c r="L159" s="4"/>
      <c r="M159" s="191">
        <f>N159*O159</f>
        <v>1469090</v>
      </c>
      <c r="N159" s="4">
        <v>9478</v>
      </c>
      <c r="O159" s="22">
        <v>155</v>
      </c>
      <c r="P159" s="4" t="s">
        <v>59</v>
      </c>
      <c r="Q159" s="4" t="s">
        <v>58</v>
      </c>
      <c r="R159" s="64" t="s">
        <v>158</v>
      </c>
      <c r="S159" s="207" t="s">
        <v>55</v>
      </c>
    </row>
    <row r="160" spans="2:19" ht="33" hidden="1" customHeight="1">
      <c r="B160" s="265"/>
      <c r="D160" s="20">
        <v>10067.700000000001</v>
      </c>
      <c r="F160" s="20"/>
      <c r="G160" s="100">
        <f>H160*O160</f>
        <v>1258375</v>
      </c>
      <c r="H160" s="1">
        <v>10067</v>
      </c>
      <c r="I160" s="40">
        <f>J160*O160</f>
        <v>73625</v>
      </c>
      <c r="J160" s="49">
        <f>H160-N160</f>
        <v>589</v>
      </c>
      <c r="K160" s="4"/>
      <c r="L160" s="4"/>
      <c r="M160" s="191">
        <f>N160*O160</f>
        <v>1184750</v>
      </c>
      <c r="N160" s="4">
        <v>9478</v>
      </c>
      <c r="O160" s="22">
        <v>125</v>
      </c>
      <c r="P160" s="4" t="s">
        <v>59</v>
      </c>
      <c r="Q160" s="4" t="s">
        <v>113</v>
      </c>
      <c r="R160" s="64" t="s">
        <v>158</v>
      </c>
      <c r="S160" s="207" t="s">
        <v>112</v>
      </c>
    </row>
    <row r="161" spans="2:28" ht="33" hidden="1" customHeight="1">
      <c r="B161" s="265"/>
      <c r="D161" s="20">
        <v>3355.9</v>
      </c>
      <c r="F161" s="20"/>
      <c r="G161" s="100">
        <f>H161*O161</f>
        <v>369050</v>
      </c>
      <c r="H161" s="1">
        <v>3355</v>
      </c>
      <c r="I161" s="40">
        <f>J161*O161</f>
        <v>21560</v>
      </c>
      <c r="J161" s="49">
        <f>H161-N161</f>
        <v>196</v>
      </c>
      <c r="K161" s="4"/>
      <c r="L161" s="4"/>
      <c r="M161" s="191">
        <f>N161*O161</f>
        <v>347490</v>
      </c>
      <c r="N161" s="4">
        <v>3159</v>
      </c>
      <c r="O161" s="22">
        <v>110</v>
      </c>
      <c r="P161" s="4" t="s">
        <v>59</v>
      </c>
      <c r="Q161" s="4" t="s">
        <v>127</v>
      </c>
      <c r="R161" s="64" t="s">
        <v>158</v>
      </c>
      <c r="S161" s="207" t="s">
        <v>126</v>
      </c>
    </row>
    <row r="162" spans="2:28" s="178" customFormat="1" ht="33" hidden="1" customHeight="1" thickBot="1">
      <c r="B162" s="261"/>
      <c r="C162" s="264"/>
      <c r="D162" s="179"/>
      <c r="F162" s="179"/>
      <c r="G162" s="407">
        <f>SUM(G157:G161)</f>
        <v>48146595</v>
      </c>
      <c r="H162" s="408"/>
      <c r="I162" s="403">
        <f>SUM(I157:I161)</f>
        <v>25368345</v>
      </c>
      <c r="J162" s="403"/>
      <c r="K162" s="434">
        <f>SUM(K157:K161)</f>
        <v>0</v>
      </c>
      <c r="L162" s="434"/>
      <c r="M162" s="434">
        <f>SUM(M157:M161)</f>
        <v>22778250</v>
      </c>
      <c r="N162" s="434"/>
      <c r="O162" s="182"/>
      <c r="P162" s="181"/>
      <c r="Q162" s="181" t="s">
        <v>14</v>
      </c>
      <c r="R162" s="180"/>
      <c r="S162" s="221"/>
    </row>
    <row r="163" spans="2:28" ht="49.5" hidden="1" customHeight="1"/>
    <row r="164" spans="2:28" ht="49.5" hidden="1" customHeight="1"/>
    <row r="165" spans="2:28" ht="49.5" hidden="1" customHeight="1"/>
    <row r="166" spans="2:28" ht="49.5" hidden="1" customHeight="1">
      <c r="T166" s="3"/>
      <c r="U166" s="3"/>
      <c r="V166" s="3"/>
      <c r="W166" s="3"/>
      <c r="X166" s="3"/>
      <c r="Y166" s="3"/>
      <c r="Z166" s="14"/>
      <c r="AA166" s="14"/>
      <c r="AB166" s="12"/>
    </row>
    <row r="167" spans="2:28" ht="49.5" hidden="1" customHeight="1">
      <c r="T167" s="3"/>
      <c r="U167" s="3"/>
      <c r="V167" s="3"/>
      <c r="W167" s="3"/>
      <c r="X167" s="3"/>
      <c r="Y167" s="3"/>
      <c r="Z167" s="14"/>
      <c r="AA167" s="14"/>
      <c r="AB167" s="12"/>
    </row>
    <row r="168" spans="2:28" ht="49.5" hidden="1" customHeight="1">
      <c r="T168" s="3"/>
      <c r="U168" s="3"/>
      <c r="V168" s="3"/>
      <c r="W168" s="3"/>
      <c r="X168" s="3"/>
      <c r="Y168" s="3"/>
      <c r="Z168" s="14"/>
      <c r="AA168" s="14"/>
      <c r="AB168" s="12"/>
    </row>
    <row r="169" spans="2:28" ht="49.5" hidden="1" customHeight="1">
      <c r="T169" s="3"/>
      <c r="U169" s="3"/>
      <c r="V169" s="3"/>
      <c r="W169" s="3"/>
      <c r="X169" s="3"/>
      <c r="Y169" s="3"/>
      <c r="Z169" s="14"/>
      <c r="AA169" s="14"/>
      <c r="AB169" s="12"/>
    </row>
    <row r="170" spans="2:28" ht="49.5" hidden="1" customHeight="1">
      <c r="D170" s="25"/>
      <c r="F170" s="25"/>
      <c r="T170" s="3"/>
      <c r="U170" s="3"/>
      <c r="V170" s="3"/>
      <c r="W170" s="3"/>
      <c r="X170" s="3"/>
      <c r="Y170" s="3"/>
      <c r="Z170" s="14"/>
      <c r="AA170" s="14"/>
      <c r="AB170" s="12"/>
    </row>
    <row r="171" spans="2:28" ht="49.5" hidden="1" customHeight="1">
      <c r="T171" s="3"/>
      <c r="U171" s="3"/>
      <c r="V171" s="3"/>
      <c r="W171" s="3"/>
      <c r="X171" s="3"/>
      <c r="Y171" s="3"/>
      <c r="Z171" s="14"/>
      <c r="AA171" s="14"/>
      <c r="AB171" s="12"/>
    </row>
    <row r="172" spans="2:28" ht="49.5" hidden="1" customHeight="1">
      <c r="D172" s="26"/>
      <c r="F172" s="26"/>
      <c r="T172" s="3"/>
      <c r="U172" s="3"/>
      <c r="V172" s="3"/>
      <c r="W172" s="3"/>
      <c r="X172" s="3"/>
      <c r="Y172" s="3"/>
      <c r="Z172" s="14"/>
      <c r="AA172" s="14"/>
      <c r="AB172" s="12"/>
    </row>
    <row r="173" spans="2:28" ht="49.5" hidden="1" customHeight="1">
      <c r="T173" s="3"/>
      <c r="U173" s="3"/>
      <c r="V173" s="3"/>
      <c r="W173" s="3"/>
      <c r="X173" s="3"/>
      <c r="Y173" s="3"/>
      <c r="Z173" s="14"/>
      <c r="AA173" s="14"/>
      <c r="AB173" s="12"/>
    </row>
    <row r="174" spans="2:28" ht="49.5" hidden="1" customHeight="1">
      <c r="T174" s="3"/>
      <c r="U174" s="3"/>
      <c r="V174" s="3"/>
      <c r="W174" s="3"/>
      <c r="X174" s="3"/>
      <c r="Y174" s="3"/>
      <c r="Z174" s="14"/>
      <c r="AA174" s="14"/>
      <c r="AB174" s="12"/>
    </row>
    <row r="175" spans="2:28" ht="49.5" hidden="1" customHeight="1">
      <c r="T175" s="3"/>
      <c r="U175" s="3"/>
      <c r="V175" s="3"/>
      <c r="W175" s="3"/>
      <c r="X175" s="3"/>
      <c r="Y175" s="3"/>
      <c r="Z175" s="14"/>
      <c r="AA175" s="14"/>
      <c r="AB175" s="12"/>
    </row>
    <row r="176" spans="2:28" ht="49.5" hidden="1" customHeight="1">
      <c r="D176" s="16">
        <v>1.25</v>
      </c>
      <c r="F176" s="16">
        <v>1.25</v>
      </c>
      <c r="I176" s="33" t="s">
        <v>69</v>
      </c>
      <c r="J176" s="33" t="s">
        <v>67</v>
      </c>
      <c r="T176" s="3"/>
      <c r="U176" s="3"/>
      <c r="V176" s="3"/>
      <c r="W176" s="3"/>
      <c r="X176" s="3"/>
      <c r="Y176" s="3"/>
      <c r="Z176" s="14"/>
      <c r="AA176" s="14"/>
      <c r="AB176" s="12"/>
    </row>
    <row r="177" spans="4:28" ht="49.5" hidden="1" customHeight="1">
      <c r="D177" s="16" t="e">
        <f>G162+#REF!+#REF!+G150+#REF!+G142+#REF!+G119+G95+#REF!+G90+G78+#REF!+G34+G11+#REF!</f>
        <v>#REF!</v>
      </c>
      <c r="F177" s="16" t="e">
        <f>I162+#REF!+#REF!+I150+#REF!+I142+#REF!+I119+I95+#REF!+I90+I78+#REF!+I34+I11+#REF!</f>
        <v>#REF!</v>
      </c>
      <c r="I177" s="53" t="e">
        <f>K162+#REF!+#REF!+K150+#REF!+K142+#REF!+K119+K95+#REF!+K90+K78+#REF!+K34+K11+#REF!</f>
        <v>#REF!</v>
      </c>
      <c r="J177" s="33" t="e">
        <f>M162+#REF!+#REF!+M150+#REF!+#REF!+M119+M95+#REF!+M90+M78+M34+#REF!+M11+M142+#REF!</f>
        <v>#REF!</v>
      </c>
      <c r="T177" s="3"/>
      <c r="U177" s="3"/>
      <c r="V177" s="3"/>
      <c r="W177" s="3"/>
      <c r="X177" s="3"/>
      <c r="Y177" s="3"/>
      <c r="Z177" s="14"/>
      <c r="AA177" s="14"/>
      <c r="AB177" s="12"/>
    </row>
    <row r="178" spans="4:28" ht="49.5" customHeight="1">
      <c r="T178" s="3"/>
      <c r="U178" s="3"/>
      <c r="V178" s="3"/>
      <c r="W178" s="3"/>
      <c r="X178" s="3"/>
      <c r="Y178" s="3"/>
      <c r="Z178" s="14"/>
      <c r="AA178" s="14"/>
      <c r="AB178" s="12"/>
    </row>
    <row r="179" spans="4:28" ht="49.5" customHeight="1">
      <c r="T179" s="3"/>
      <c r="U179" s="3"/>
      <c r="V179" s="3"/>
      <c r="W179" s="3"/>
      <c r="X179" s="3"/>
      <c r="Y179" s="3"/>
      <c r="Z179" s="14"/>
      <c r="AA179" s="14"/>
      <c r="AB179" s="12"/>
    </row>
    <row r="180" spans="4:28" ht="49.5" customHeight="1">
      <c r="T180" s="3"/>
      <c r="U180" s="3"/>
      <c r="V180" s="3"/>
      <c r="W180" s="3"/>
      <c r="X180" s="3"/>
      <c r="Y180" s="3"/>
      <c r="Z180" s="14"/>
      <c r="AA180" s="14"/>
      <c r="AB180" s="12"/>
    </row>
    <row r="181" spans="4:28" ht="49.5" customHeight="1">
      <c r="T181" s="3"/>
      <c r="U181" s="3"/>
      <c r="V181" s="3"/>
      <c r="W181" s="3"/>
      <c r="X181" s="3"/>
      <c r="Y181" s="3"/>
      <c r="Z181" s="14"/>
      <c r="AA181" s="14"/>
      <c r="AB181" s="12"/>
    </row>
    <row r="182" spans="4:28" ht="49.5" customHeight="1">
      <c r="T182" s="3"/>
      <c r="U182" s="3"/>
      <c r="V182" s="3"/>
      <c r="W182" s="3"/>
      <c r="X182" s="3"/>
      <c r="Y182" s="3"/>
      <c r="Z182" s="14"/>
      <c r="AA182" s="14"/>
      <c r="AB182" s="12"/>
    </row>
    <row r="183" spans="4:28" ht="49.5" customHeight="1">
      <c r="Z183" s="12"/>
      <c r="AA183" s="12"/>
      <c r="AB183" s="12"/>
    </row>
    <row r="184" spans="4:28" ht="49.5" customHeight="1">
      <c r="Z184" s="12"/>
      <c r="AA184" s="12"/>
      <c r="AB184" s="12"/>
    </row>
    <row r="185" spans="4:28" ht="49.5" customHeight="1">
      <c r="Z185" s="12"/>
      <c r="AA185" s="12"/>
      <c r="AB185" s="12"/>
    </row>
    <row r="186" spans="4:28" ht="49.5" customHeight="1">
      <c r="Z186" s="12"/>
      <c r="AA186" s="12"/>
      <c r="AB186" s="12"/>
    </row>
    <row r="187" spans="4:28" ht="49.5" customHeight="1">
      <c r="Z187" s="12"/>
      <c r="AA187" s="12"/>
      <c r="AB187" s="12"/>
    </row>
    <row r="188" spans="4:28" ht="49.5" customHeight="1">
      <c r="Z188" s="12"/>
      <c r="AA188" s="12"/>
      <c r="AB188" s="12"/>
    </row>
    <row r="189" spans="4:28" ht="49.5" customHeight="1">
      <c r="Z189" s="12"/>
      <c r="AA189" s="12"/>
      <c r="AB189" s="12"/>
    </row>
    <row r="190" spans="4:28" ht="49.5" customHeight="1">
      <c r="Z190" s="12"/>
      <c r="AA190" s="12"/>
      <c r="AB190" s="12"/>
    </row>
    <row r="191" spans="4:28" ht="49.5" customHeight="1">
      <c r="Z191" s="12"/>
      <c r="AA191" s="12"/>
      <c r="AB191" s="12"/>
    </row>
    <row r="192" spans="4:28" ht="49.5" customHeight="1">
      <c r="Z192" s="12"/>
      <c r="AA192" s="12"/>
      <c r="AB192" s="12"/>
    </row>
    <row r="193" spans="26:28" ht="49.5" customHeight="1">
      <c r="Z193" s="12"/>
      <c r="AA193" s="12"/>
      <c r="AB193" s="12"/>
    </row>
    <row r="194" spans="26:28" ht="49.5" customHeight="1">
      <c r="Z194" s="12"/>
      <c r="AA194" s="12"/>
      <c r="AB194" s="12"/>
    </row>
    <row r="195" spans="26:28" ht="49.5" customHeight="1">
      <c r="Z195" s="12"/>
      <c r="AA195" s="12"/>
      <c r="AB195" s="12"/>
    </row>
    <row r="196" spans="26:28" ht="49.5" customHeight="1">
      <c r="Z196" s="12"/>
      <c r="AA196" s="12"/>
      <c r="AB196" s="12"/>
    </row>
  </sheetData>
  <mergeCells count="129">
    <mergeCell ref="G1:H1"/>
    <mergeCell ref="I1:J1"/>
    <mergeCell ref="D3:D4"/>
    <mergeCell ref="F3:F4"/>
    <mergeCell ref="G3:H3"/>
    <mergeCell ref="I3:J3"/>
    <mergeCell ref="K3:L3"/>
    <mergeCell ref="M3:N3"/>
    <mergeCell ref="O3:O4"/>
    <mergeCell ref="P3:P4"/>
    <mergeCell ref="Q3:Q4"/>
    <mergeCell ref="S3:S4"/>
    <mergeCell ref="I11:J11"/>
    <mergeCell ref="K11:L11"/>
    <mergeCell ref="M11:N11"/>
    <mergeCell ref="G13:H13"/>
    <mergeCell ref="I13:J13"/>
    <mergeCell ref="D16:D17"/>
    <mergeCell ref="F16:F17"/>
    <mergeCell ref="G16:H16"/>
    <mergeCell ref="I16:J16"/>
    <mergeCell ref="K16:L16"/>
    <mergeCell ref="M16:N16"/>
    <mergeCell ref="O16:O17"/>
    <mergeCell ref="P16:P17"/>
    <mergeCell ref="Q16:Q17"/>
    <mergeCell ref="S16:S17"/>
    <mergeCell ref="G34:H34"/>
    <mergeCell ref="I34:J34"/>
    <mergeCell ref="K34:L34"/>
    <mergeCell ref="M34:N34"/>
    <mergeCell ref="G36:H36"/>
    <mergeCell ref="I36:J36"/>
    <mergeCell ref="G54:H54"/>
    <mergeCell ref="I54:J54"/>
    <mergeCell ref="K54:L54"/>
    <mergeCell ref="M54:N54"/>
    <mergeCell ref="G56:H56"/>
    <mergeCell ref="I56:J56"/>
    <mergeCell ref="D59:D60"/>
    <mergeCell ref="F59:F60"/>
    <mergeCell ref="G59:H59"/>
    <mergeCell ref="I59:J59"/>
    <mergeCell ref="K59:L59"/>
    <mergeCell ref="M59:N59"/>
    <mergeCell ref="O59:O60"/>
    <mergeCell ref="P59:P60"/>
    <mergeCell ref="Q59:Q60"/>
    <mergeCell ref="S59:S60"/>
    <mergeCell ref="G65:H65"/>
    <mergeCell ref="I65:J65"/>
    <mergeCell ref="M65:N65"/>
    <mergeCell ref="G78:H78"/>
    <mergeCell ref="I78:J78"/>
    <mergeCell ref="K78:L78"/>
    <mergeCell ref="M78:N78"/>
    <mergeCell ref="G80:H80"/>
    <mergeCell ref="I80:J80"/>
    <mergeCell ref="D83:D84"/>
    <mergeCell ref="F83:F84"/>
    <mergeCell ref="G83:H83"/>
    <mergeCell ref="I83:J83"/>
    <mergeCell ref="K83:L83"/>
    <mergeCell ref="M83:N83"/>
    <mergeCell ref="O83:O84"/>
    <mergeCell ref="P83:P84"/>
    <mergeCell ref="Q83:Q84"/>
    <mergeCell ref="S83:S84"/>
    <mergeCell ref="G90:H90"/>
    <mergeCell ref="I90:J90"/>
    <mergeCell ref="K90:L90"/>
    <mergeCell ref="M90:N90"/>
    <mergeCell ref="O90:P90"/>
    <mergeCell ref="G95:H95"/>
    <mergeCell ref="I95:J95"/>
    <mergeCell ref="K95:L95"/>
    <mergeCell ref="M95:N95"/>
    <mergeCell ref="G97:H97"/>
    <mergeCell ref="I97:J97"/>
    <mergeCell ref="D100:D101"/>
    <mergeCell ref="F100:F101"/>
    <mergeCell ref="G100:H100"/>
    <mergeCell ref="I100:J100"/>
    <mergeCell ref="K100:L100"/>
    <mergeCell ref="M100:N100"/>
    <mergeCell ref="O100:O101"/>
    <mergeCell ref="P100:P101"/>
    <mergeCell ref="Q100:Q101"/>
    <mergeCell ref="S100:S101"/>
    <mergeCell ref="G119:H119"/>
    <mergeCell ref="I119:J119"/>
    <mergeCell ref="K119:L119"/>
    <mergeCell ref="M119:N119"/>
    <mergeCell ref="G121:H121"/>
    <mergeCell ref="I121:J121"/>
    <mergeCell ref="S124:S125"/>
    <mergeCell ref="G129:H129"/>
    <mergeCell ref="I129:J129"/>
    <mergeCell ref="K129:L129"/>
    <mergeCell ref="M129:N129"/>
    <mergeCell ref="D124:D125"/>
    <mergeCell ref="F124:F125"/>
    <mergeCell ref="G124:H124"/>
    <mergeCell ref="I124:J124"/>
    <mergeCell ref="K124:L124"/>
    <mergeCell ref="P1:Q1"/>
    <mergeCell ref="G162:H162"/>
    <mergeCell ref="I162:J162"/>
    <mergeCell ref="K162:L162"/>
    <mergeCell ref="M162:N162"/>
    <mergeCell ref="G150:H150"/>
    <mergeCell ref="I150:J150"/>
    <mergeCell ref="K150:L150"/>
    <mergeCell ref="M150:N150"/>
    <mergeCell ref="G155:H155"/>
    <mergeCell ref="I155:J155"/>
    <mergeCell ref="O142:P142"/>
    <mergeCell ref="G145:H145"/>
    <mergeCell ref="I145:J145"/>
    <mergeCell ref="O124:O125"/>
    <mergeCell ref="P124:P125"/>
    <mergeCell ref="Q124:Q125"/>
    <mergeCell ref="M124:N124"/>
    <mergeCell ref="K155:L155"/>
    <mergeCell ref="M155:N155"/>
    <mergeCell ref="G142:H142"/>
    <mergeCell ref="I142:J142"/>
    <mergeCell ref="K142:L142"/>
    <mergeCell ref="M142:N142"/>
  </mergeCells>
  <printOptions horizontalCentered="1"/>
  <pageMargins left="0" right="0" top="0.78740157480314998" bottom="0.98425196850393704" header="0.39370078740157499" footer="0.59055118110236204"/>
  <pageSetup paperSize="9" scale="94" orientation="landscape" r:id="rId1"/>
  <headerFooter alignWithMargins="0">
    <oddHeader>&amp;C&amp;"Arial,Bold"&amp;14جدول تغییر مقادیر (طبق ماده 29 شرايط عمومی پيمان)</oddHeader>
    <oddFooter>&amp;L&amp;12اداره کل راه وشهرسازی استان مازندران&amp;C&amp;Rپیمانکار : شرکت روبن سازه</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1</vt:lpstr>
      <vt:lpstr>2</vt:lpstr>
      <vt:lpstr>3</vt:lpstr>
      <vt:lpstr>5</vt:lpstr>
      <vt:lpstr>7</vt:lpstr>
      <vt:lpstr>8</vt:lpstr>
      <vt:lpstr>9</vt:lpstr>
      <vt:lpstr>10</vt:lpstr>
      <vt:lpstr>11</vt:lpstr>
      <vt:lpstr>12</vt:lpstr>
      <vt:lpstr>16</vt:lpstr>
      <vt:lpstr>20</vt:lpstr>
      <vt:lpstr>25</vt:lpstr>
      <vt:lpstr>خلاصه مالی فصول</vt:lpstr>
      <vt:lpstr>'1'!Print_Area</vt:lpstr>
      <vt:lpstr>'10'!Print_Area</vt:lpstr>
      <vt:lpstr>'11'!Print_Area</vt:lpstr>
      <vt:lpstr>'12'!Print_Area</vt:lpstr>
      <vt:lpstr>'16'!Print_Area</vt:lpstr>
      <vt:lpstr>'20'!Print_Area</vt:lpstr>
      <vt:lpstr>'25'!Print_Area</vt:lpstr>
      <vt:lpstr>'3'!Print_Area</vt:lpstr>
      <vt:lpstr>'5'!Print_Area</vt:lpstr>
      <vt:lpstr>'7'!Print_Area</vt:lpstr>
      <vt:lpstr>'8'!Print_Area</vt:lpstr>
      <vt:lpstr>'9'!Print_Area</vt:lpstr>
      <vt:lpstr>'خلاصه مالی فصول'!Print_Area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SOROSH RAYANEH</dc:creator>
  <cp:lastModifiedBy>dell</cp:lastModifiedBy>
  <cp:lastPrinted>2017-10-21T07:42:10Z</cp:lastPrinted>
  <dcterms:created xsi:type="dcterms:W3CDTF">2006-10-21T05:08:06Z</dcterms:created>
  <dcterms:modified xsi:type="dcterms:W3CDTF">2020-02-19T15:56:47Z</dcterms:modified>
</cp:coreProperties>
</file>